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3jml\Desktop\"/>
    </mc:Choice>
  </mc:AlternateContent>
  <xr:revisionPtr revIDLastSave="0" documentId="13_ncr:1_{4DD545D0-7546-46F9-AE39-C35E95404E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rycí list rozpočtu" sheetId="4" r:id="rId1"/>
    <sheet name="Rozpočet - Jen objekty celkem" sheetId="2" r:id="rId2"/>
    <sheet name="Rozpočet - Jen skupiny" sheetId="1" r:id="rId3"/>
    <sheet name="VORN" sheetId="5" state="hidden" r:id="rId4"/>
    <sheet name="Stavební rozpočet" sheetId="6" r:id="rId5"/>
    <sheet name="Výkaz výměr" sheetId="3" r:id="rId6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294" i="6" l="1"/>
  <c r="BF294" i="6"/>
  <c r="BD294" i="6"/>
  <c r="AW294" i="6"/>
  <c r="AP294" i="6"/>
  <c r="AO294" i="6"/>
  <c r="BH294" i="6" s="1"/>
  <c r="AK294" i="6"/>
  <c r="AJ294" i="6"/>
  <c r="AH294" i="6"/>
  <c r="AG294" i="6"/>
  <c r="AF294" i="6"/>
  <c r="AE294" i="6"/>
  <c r="AD294" i="6"/>
  <c r="AC294" i="6"/>
  <c r="AB294" i="6"/>
  <c r="Z294" i="6"/>
  <c r="I294" i="6"/>
  <c r="AL294" i="6" s="1"/>
  <c r="BJ293" i="6"/>
  <c r="BI293" i="6"/>
  <c r="BF293" i="6"/>
  <c r="BD293" i="6"/>
  <c r="AX293" i="6"/>
  <c r="AP293" i="6"/>
  <c r="AO293" i="6"/>
  <c r="AK293" i="6"/>
  <c r="AJ293" i="6"/>
  <c r="AH293" i="6"/>
  <c r="AG293" i="6"/>
  <c r="AF293" i="6"/>
  <c r="AE293" i="6"/>
  <c r="AD293" i="6"/>
  <c r="AC293" i="6"/>
  <c r="AB293" i="6"/>
  <c r="Z293" i="6"/>
  <c r="I293" i="6"/>
  <c r="AL293" i="6" s="1"/>
  <c r="BJ292" i="6"/>
  <c r="BH292" i="6"/>
  <c r="BF292" i="6"/>
  <c r="BD292" i="6"/>
  <c r="AW292" i="6"/>
  <c r="AP292" i="6"/>
  <c r="AO292" i="6"/>
  <c r="AL292" i="6"/>
  <c r="AK292" i="6"/>
  <c r="AJ292" i="6"/>
  <c r="AH292" i="6"/>
  <c r="AG292" i="6"/>
  <c r="AF292" i="6"/>
  <c r="AE292" i="6"/>
  <c r="AD292" i="6"/>
  <c r="AC292" i="6"/>
  <c r="AB292" i="6"/>
  <c r="Z292" i="6"/>
  <c r="I292" i="6"/>
  <c r="BJ291" i="6"/>
  <c r="Z291" i="6" s="1"/>
  <c r="BF291" i="6"/>
  <c r="BD291" i="6"/>
  <c r="AX291" i="6"/>
  <c r="AP291" i="6"/>
  <c r="BI291" i="6" s="1"/>
  <c r="AO291" i="6"/>
  <c r="AK291" i="6"/>
  <c r="AT289" i="6" s="1"/>
  <c r="AJ291" i="6"/>
  <c r="AH291" i="6"/>
  <c r="AG291" i="6"/>
  <c r="AF291" i="6"/>
  <c r="AE291" i="6"/>
  <c r="AD291" i="6"/>
  <c r="AC291" i="6"/>
  <c r="AB291" i="6"/>
  <c r="I291" i="6"/>
  <c r="BJ290" i="6"/>
  <c r="BI290" i="6"/>
  <c r="BF290" i="6"/>
  <c r="BD290" i="6"/>
  <c r="AX290" i="6"/>
  <c r="AW290" i="6"/>
  <c r="AP290" i="6"/>
  <c r="AO290" i="6"/>
  <c r="BH290" i="6" s="1"/>
  <c r="AL290" i="6"/>
  <c r="AK290" i="6"/>
  <c r="AJ290" i="6"/>
  <c r="AS289" i="6" s="1"/>
  <c r="AH290" i="6"/>
  <c r="AG290" i="6"/>
  <c r="AF290" i="6"/>
  <c r="AE290" i="6"/>
  <c r="AD290" i="6"/>
  <c r="AC290" i="6"/>
  <c r="AB290" i="6"/>
  <c r="Z290" i="6"/>
  <c r="I290" i="6"/>
  <c r="BJ288" i="6"/>
  <c r="BF288" i="6"/>
  <c r="BD288" i="6"/>
  <c r="AP288" i="6"/>
  <c r="BI288" i="6" s="1"/>
  <c r="AC288" i="6" s="1"/>
  <c r="AO288" i="6"/>
  <c r="AK288" i="6"/>
  <c r="AJ288" i="6"/>
  <c r="AH288" i="6"/>
  <c r="AG288" i="6"/>
  <c r="AF288" i="6"/>
  <c r="AE288" i="6"/>
  <c r="AD288" i="6"/>
  <c r="Z288" i="6"/>
  <c r="I288" i="6"/>
  <c r="AT287" i="6"/>
  <c r="AS287" i="6"/>
  <c r="BJ285" i="6"/>
  <c r="BI285" i="6"/>
  <c r="BF285" i="6"/>
  <c r="BD285" i="6"/>
  <c r="AW285" i="6"/>
  <c r="AP285" i="6"/>
  <c r="AX285" i="6" s="1"/>
  <c r="AO285" i="6"/>
  <c r="BH285" i="6" s="1"/>
  <c r="AB285" i="6" s="1"/>
  <c r="AK285" i="6"/>
  <c r="AJ285" i="6"/>
  <c r="AH285" i="6"/>
  <c r="AG285" i="6"/>
  <c r="AF285" i="6"/>
  <c r="AE285" i="6"/>
  <c r="AD285" i="6"/>
  <c r="AC285" i="6"/>
  <c r="Z285" i="6"/>
  <c r="I285" i="6"/>
  <c r="AL285" i="6" s="1"/>
  <c r="AU284" i="6" s="1"/>
  <c r="AT284" i="6"/>
  <c r="AS284" i="6"/>
  <c r="BJ282" i="6"/>
  <c r="BH282" i="6"/>
  <c r="AD282" i="6" s="1"/>
  <c r="BF282" i="6"/>
  <c r="BD282" i="6"/>
  <c r="AX282" i="6"/>
  <c r="AP282" i="6"/>
  <c r="BI282" i="6" s="1"/>
  <c r="AE282" i="6" s="1"/>
  <c r="AO282" i="6"/>
  <c r="AW282" i="6" s="1"/>
  <c r="AK282" i="6"/>
  <c r="AJ282" i="6"/>
  <c r="AH282" i="6"/>
  <c r="AG282" i="6"/>
  <c r="AF282" i="6"/>
  <c r="AC282" i="6"/>
  <c r="AB282" i="6"/>
  <c r="Z282" i="6"/>
  <c r="I282" i="6"/>
  <c r="AL282" i="6" s="1"/>
  <c r="AU281" i="6" s="1"/>
  <c r="AT281" i="6"/>
  <c r="AS281" i="6"/>
  <c r="I281" i="6"/>
  <c r="BJ279" i="6"/>
  <c r="BI279" i="6"/>
  <c r="AE279" i="6" s="1"/>
  <c r="BH279" i="6"/>
  <c r="BF279" i="6"/>
  <c r="BD279" i="6"/>
  <c r="AX279" i="6"/>
  <c r="AW279" i="6"/>
  <c r="AP279" i="6"/>
  <c r="AO279" i="6"/>
  <c r="AL279" i="6"/>
  <c r="AK279" i="6"/>
  <c r="AJ279" i="6"/>
  <c r="AH279" i="6"/>
  <c r="AG279" i="6"/>
  <c r="AF279" i="6"/>
  <c r="AD279" i="6"/>
  <c r="AC279" i="6"/>
  <c r="AB279" i="6"/>
  <c r="Z279" i="6"/>
  <c r="I279" i="6"/>
  <c r="BJ278" i="6"/>
  <c r="BI278" i="6"/>
  <c r="BH278" i="6"/>
  <c r="AD278" i="6" s="1"/>
  <c r="BF278" i="6"/>
  <c r="BD278" i="6"/>
  <c r="AX278" i="6"/>
  <c r="AW278" i="6"/>
  <c r="BC278" i="6" s="1"/>
  <c r="AV278" i="6"/>
  <c r="AP278" i="6"/>
  <c r="AO278" i="6"/>
  <c r="AK278" i="6"/>
  <c r="AT276" i="6" s="1"/>
  <c r="AJ278" i="6"/>
  <c r="AH278" i="6"/>
  <c r="AG278" i="6"/>
  <c r="AF278" i="6"/>
  <c r="AE278" i="6"/>
  <c r="AC278" i="6"/>
  <c r="AB278" i="6"/>
  <c r="Z278" i="6"/>
  <c r="I278" i="6"/>
  <c r="AL278" i="6" s="1"/>
  <c r="BJ277" i="6"/>
  <c r="BH277" i="6"/>
  <c r="BF277" i="6"/>
  <c r="BD277" i="6"/>
  <c r="AW277" i="6"/>
  <c r="AP277" i="6"/>
  <c r="AX277" i="6" s="1"/>
  <c r="AO277" i="6"/>
  <c r="AK277" i="6"/>
  <c r="AJ277" i="6"/>
  <c r="AS276" i="6" s="1"/>
  <c r="AH277" i="6"/>
  <c r="AG277" i="6"/>
  <c r="AF277" i="6"/>
  <c r="AD277" i="6"/>
  <c r="AC277" i="6"/>
  <c r="AB277" i="6"/>
  <c r="Z277" i="6"/>
  <c r="I277" i="6"/>
  <c r="AL277" i="6" s="1"/>
  <c r="I276" i="6"/>
  <c r="BJ275" i="6"/>
  <c r="BI275" i="6"/>
  <c r="BF275" i="6"/>
  <c r="BD275" i="6"/>
  <c r="AX275" i="6"/>
  <c r="AP275" i="6"/>
  <c r="AO275" i="6"/>
  <c r="AK275" i="6"/>
  <c r="AT274" i="6" s="1"/>
  <c r="AJ275" i="6"/>
  <c r="AH275" i="6"/>
  <c r="AG275" i="6"/>
  <c r="AF275" i="6"/>
  <c r="AE275" i="6"/>
  <c r="AC275" i="6"/>
  <c r="AB275" i="6"/>
  <c r="Z275" i="6"/>
  <c r="I275" i="6"/>
  <c r="AS274" i="6"/>
  <c r="BJ272" i="6"/>
  <c r="BH272" i="6"/>
  <c r="AB272" i="6" s="1"/>
  <c r="BF272" i="6"/>
  <c r="BD272" i="6"/>
  <c r="AW272" i="6"/>
  <c r="AP272" i="6"/>
  <c r="AO272" i="6"/>
  <c r="AL272" i="6"/>
  <c r="AK272" i="6"/>
  <c r="AJ272" i="6"/>
  <c r="AH272" i="6"/>
  <c r="AG272" i="6"/>
  <c r="AF272" i="6"/>
  <c r="AE272" i="6"/>
  <c r="AD272" i="6"/>
  <c r="Z272" i="6"/>
  <c r="I272" i="6"/>
  <c r="AU271" i="6"/>
  <c r="AT271" i="6"/>
  <c r="AS271" i="6"/>
  <c r="I271" i="6"/>
  <c r="BJ270" i="6"/>
  <c r="BF270" i="6"/>
  <c r="BD270" i="6"/>
  <c r="AX270" i="6"/>
  <c r="AP270" i="6"/>
  <c r="BI270" i="6" s="1"/>
  <c r="AC270" i="6" s="1"/>
  <c r="AO270" i="6"/>
  <c r="BH270" i="6" s="1"/>
  <c r="AB270" i="6" s="1"/>
  <c r="AL270" i="6"/>
  <c r="AK270" i="6"/>
  <c r="AT269" i="6" s="1"/>
  <c r="AJ270" i="6"/>
  <c r="AH270" i="6"/>
  <c r="AG270" i="6"/>
  <c r="AF270" i="6"/>
  <c r="AE270" i="6"/>
  <c r="AD270" i="6"/>
  <c r="Z270" i="6"/>
  <c r="I270" i="6"/>
  <c r="I269" i="6" s="1"/>
  <c r="AU269" i="6"/>
  <c r="AS269" i="6"/>
  <c r="BJ266" i="6"/>
  <c r="Z266" i="6" s="1"/>
  <c r="BI266" i="6"/>
  <c r="BH266" i="6"/>
  <c r="BF266" i="6"/>
  <c r="BD266" i="6"/>
  <c r="AX266" i="6"/>
  <c r="AW266" i="6"/>
  <c r="BC266" i="6" s="1"/>
  <c r="AV266" i="6"/>
  <c r="AP266" i="6"/>
  <c r="AO266" i="6"/>
  <c r="AL266" i="6"/>
  <c r="AK266" i="6"/>
  <c r="AJ266" i="6"/>
  <c r="AH266" i="6"/>
  <c r="AG266" i="6"/>
  <c r="AF266" i="6"/>
  <c r="AE266" i="6"/>
  <c r="AD266" i="6"/>
  <c r="AC266" i="6"/>
  <c r="AB266" i="6"/>
  <c r="I266" i="6"/>
  <c r="BJ265" i="6"/>
  <c r="BH265" i="6"/>
  <c r="BF265" i="6"/>
  <c r="BD265" i="6"/>
  <c r="AW265" i="6"/>
  <c r="AP265" i="6"/>
  <c r="AX265" i="6" s="1"/>
  <c r="AO265" i="6"/>
  <c r="AK265" i="6"/>
  <c r="AJ265" i="6"/>
  <c r="AH265" i="6"/>
  <c r="AG265" i="6"/>
  <c r="AF265" i="6"/>
  <c r="AE265" i="6"/>
  <c r="AD265" i="6"/>
  <c r="AC265" i="6"/>
  <c r="AB265" i="6"/>
  <c r="Z265" i="6"/>
  <c r="I265" i="6"/>
  <c r="AL265" i="6" s="1"/>
  <c r="BJ264" i="6"/>
  <c r="BF264" i="6"/>
  <c r="BD264" i="6"/>
  <c r="AP264" i="6"/>
  <c r="AO264" i="6"/>
  <c r="AW264" i="6" s="1"/>
  <c r="AK264" i="6"/>
  <c r="AJ264" i="6"/>
  <c r="AH264" i="6"/>
  <c r="AG264" i="6"/>
  <c r="AF264" i="6"/>
  <c r="AE264" i="6"/>
  <c r="AD264" i="6"/>
  <c r="AC264" i="6"/>
  <c r="AB264" i="6"/>
  <c r="Z264" i="6"/>
  <c r="I264" i="6"/>
  <c r="AL264" i="6" s="1"/>
  <c r="BJ263" i="6"/>
  <c r="BF263" i="6"/>
  <c r="BD263" i="6"/>
  <c r="AP263" i="6"/>
  <c r="BI263" i="6" s="1"/>
  <c r="AO263" i="6"/>
  <c r="AK263" i="6"/>
  <c r="AJ263" i="6"/>
  <c r="AH263" i="6"/>
  <c r="AG263" i="6"/>
  <c r="AF263" i="6"/>
  <c r="AE263" i="6"/>
  <c r="AD263" i="6"/>
  <c r="AC263" i="6"/>
  <c r="AB263" i="6"/>
  <c r="Z263" i="6"/>
  <c r="I263" i="6"/>
  <c r="BJ262" i="6"/>
  <c r="Z262" i="6" s="1"/>
  <c r="BF262" i="6"/>
  <c r="BD262" i="6"/>
  <c r="AX262" i="6"/>
  <c r="AP262" i="6"/>
  <c r="BI262" i="6" s="1"/>
  <c r="AO262" i="6"/>
  <c r="BH262" i="6" s="1"/>
  <c r="AL262" i="6"/>
  <c r="AK262" i="6"/>
  <c r="AJ262" i="6"/>
  <c r="AH262" i="6"/>
  <c r="AG262" i="6"/>
  <c r="AF262" i="6"/>
  <c r="AE262" i="6"/>
  <c r="AD262" i="6"/>
  <c r="AC262" i="6"/>
  <c r="AB262" i="6"/>
  <c r="I262" i="6"/>
  <c r="BJ261" i="6"/>
  <c r="Z261" i="6" s="1"/>
  <c r="BI261" i="6"/>
  <c r="BF261" i="6"/>
  <c r="BD261" i="6"/>
  <c r="AW261" i="6"/>
  <c r="AV261" i="6" s="1"/>
  <c r="AP261" i="6"/>
  <c r="AX261" i="6" s="1"/>
  <c r="AO261" i="6"/>
  <c r="BH261" i="6" s="1"/>
  <c r="AL261" i="6"/>
  <c r="AK261" i="6"/>
  <c r="AJ261" i="6"/>
  <c r="AH261" i="6"/>
  <c r="AG261" i="6"/>
  <c r="AF261" i="6"/>
  <c r="AE261" i="6"/>
  <c r="AD261" i="6"/>
  <c r="AC261" i="6"/>
  <c r="AB261" i="6"/>
  <c r="I261" i="6"/>
  <c r="BJ260" i="6"/>
  <c r="Z260" i="6" s="1"/>
  <c r="BI260" i="6"/>
  <c r="BH260" i="6"/>
  <c r="BF260" i="6"/>
  <c r="BD260" i="6"/>
  <c r="AX260" i="6"/>
  <c r="AP260" i="6"/>
  <c r="AO260" i="6"/>
  <c r="AW260" i="6" s="1"/>
  <c r="BC260" i="6" s="1"/>
  <c r="AK260" i="6"/>
  <c r="AJ260" i="6"/>
  <c r="AS259" i="6" s="1"/>
  <c r="AH260" i="6"/>
  <c r="AG260" i="6"/>
  <c r="AF260" i="6"/>
  <c r="AE260" i="6"/>
  <c r="AD260" i="6"/>
  <c r="AC260" i="6"/>
  <c r="AB260" i="6"/>
  <c r="I260" i="6"/>
  <c r="AL260" i="6" s="1"/>
  <c r="BJ258" i="6"/>
  <c r="BF258" i="6"/>
  <c r="BD258" i="6"/>
  <c r="AP258" i="6"/>
  <c r="BI258" i="6" s="1"/>
  <c r="AC258" i="6" s="1"/>
  <c r="AO258" i="6"/>
  <c r="AK258" i="6"/>
  <c r="AJ258" i="6"/>
  <c r="AH258" i="6"/>
  <c r="AG258" i="6"/>
  <c r="AF258" i="6"/>
  <c r="AE258" i="6"/>
  <c r="AD258" i="6"/>
  <c r="Z258" i="6"/>
  <c r="I258" i="6"/>
  <c r="I257" i="6" s="1"/>
  <c r="AT257" i="6"/>
  <c r="AS257" i="6"/>
  <c r="BJ256" i="6"/>
  <c r="Z256" i="6" s="1"/>
  <c r="BI256" i="6"/>
  <c r="BH256" i="6"/>
  <c r="BF256" i="6"/>
  <c r="BD256" i="6"/>
  <c r="AX256" i="6"/>
  <c r="AW256" i="6"/>
  <c r="BC256" i="6" s="1"/>
  <c r="AP256" i="6"/>
  <c r="AO256" i="6"/>
  <c r="AL256" i="6"/>
  <c r="AK256" i="6"/>
  <c r="AT255" i="6" s="1"/>
  <c r="AJ256" i="6"/>
  <c r="AH256" i="6"/>
  <c r="AG256" i="6"/>
  <c r="AF256" i="6"/>
  <c r="AE256" i="6"/>
  <c r="AD256" i="6"/>
  <c r="AC256" i="6"/>
  <c r="AB256" i="6"/>
  <c r="I256" i="6"/>
  <c r="AU255" i="6"/>
  <c r="AS255" i="6"/>
  <c r="I255" i="6"/>
  <c r="BJ254" i="6"/>
  <c r="BF254" i="6"/>
  <c r="BD254" i="6"/>
  <c r="AP254" i="6"/>
  <c r="AO254" i="6"/>
  <c r="BH254" i="6" s="1"/>
  <c r="AB254" i="6" s="1"/>
  <c r="AL254" i="6"/>
  <c r="AK254" i="6"/>
  <c r="AJ254" i="6"/>
  <c r="AH254" i="6"/>
  <c r="AG254" i="6"/>
  <c r="AF254" i="6"/>
  <c r="AE254" i="6"/>
  <c r="AD254" i="6"/>
  <c r="Z254" i="6"/>
  <c r="I254" i="6"/>
  <c r="BJ253" i="6"/>
  <c r="BF253" i="6"/>
  <c r="BD253" i="6"/>
  <c r="AX253" i="6"/>
  <c r="AP253" i="6"/>
  <c r="BI253" i="6" s="1"/>
  <c r="AC253" i="6" s="1"/>
  <c r="AO253" i="6"/>
  <c r="AK253" i="6"/>
  <c r="AJ253" i="6"/>
  <c r="AH253" i="6"/>
  <c r="AG253" i="6"/>
  <c r="AF253" i="6"/>
  <c r="AE253" i="6"/>
  <c r="AD253" i="6"/>
  <c r="Z253" i="6"/>
  <c r="I253" i="6"/>
  <c r="AL253" i="6" s="1"/>
  <c r="BJ252" i="6"/>
  <c r="BI252" i="6"/>
  <c r="AC252" i="6" s="1"/>
  <c r="BF252" i="6"/>
  <c r="BD252" i="6"/>
  <c r="AX252" i="6"/>
  <c r="AW252" i="6"/>
  <c r="AP252" i="6"/>
  <c r="AO252" i="6"/>
  <c r="BH252" i="6" s="1"/>
  <c r="AB252" i="6" s="1"/>
  <c r="AL252" i="6"/>
  <c r="AK252" i="6"/>
  <c r="AJ252" i="6"/>
  <c r="AS250" i="6" s="1"/>
  <c r="AH252" i="6"/>
  <c r="AG252" i="6"/>
  <c r="AF252" i="6"/>
  <c r="AE252" i="6"/>
  <c r="AD252" i="6"/>
  <c r="Z252" i="6"/>
  <c r="I252" i="6"/>
  <c r="BJ251" i="6"/>
  <c r="BI251" i="6"/>
  <c r="BH251" i="6"/>
  <c r="AB251" i="6" s="1"/>
  <c r="BF251" i="6"/>
  <c r="BD251" i="6"/>
  <c r="AX251" i="6"/>
  <c r="AW251" i="6"/>
  <c r="BC251" i="6" s="1"/>
  <c r="AV251" i="6"/>
  <c r="AP251" i="6"/>
  <c r="AO251" i="6"/>
  <c r="AL251" i="6"/>
  <c r="AK251" i="6"/>
  <c r="AJ251" i="6"/>
  <c r="AH251" i="6"/>
  <c r="AG251" i="6"/>
  <c r="AF251" i="6"/>
  <c r="AE251" i="6"/>
  <c r="AD251" i="6"/>
  <c r="AC251" i="6"/>
  <c r="Z251" i="6"/>
  <c r="I251" i="6"/>
  <c r="AT250" i="6"/>
  <c r="BJ249" i="6"/>
  <c r="BF249" i="6"/>
  <c r="BD249" i="6"/>
  <c r="AP249" i="6"/>
  <c r="AO249" i="6"/>
  <c r="BH249" i="6" s="1"/>
  <c r="AB249" i="6" s="1"/>
  <c r="AL249" i="6"/>
  <c r="AK249" i="6"/>
  <c r="AJ249" i="6"/>
  <c r="AH249" i="6"/>
  <c r="AG249" i="6"/>
  <c r="AF249" i="6"/>
  <c r="AE249" i="6"/>
  <c r="AD249" i="6"/>
  <c r="Z249" i="6"/>
  <c r="I249" i="6"/>
  <c r="BJ248" i="6"/>
  <c r="BF248" i="6"/>
  <c r="BD248" i="6"/>
  <c r="AX248" i="6"/>
  <c r="AP248" i="6"/>
  <c r="BI248" i="6" s="1"/>
  <c r="AC248" i="6" s="1"/>
  <c r="AO248" i="6"/>
  <c r="AK248" i="6"/>
  <c r="AJ248" i="6"/>
  <c r="AH248" i="6"/>
  <c r="AG248" i="6"/>
  <c r="AF248" i="6"/>
  <c r="AE248" i="6"/>
  <c r="AD248" i="6"/>
  <c r="Z248" i="6"/>
  <c r="I248" i="6"/>
  <c r="AL248" i="6" s="1"/>
  <c r="BJ247" i="6"/>
  <c r="BI247" i="6"/>
  <c r="BF247" i="6"/>
  <c r="BD247" i="6"/>
  <c r="AX247" i="6"/>
  <c r="AW247" i="6"/>
  <c r="AP247" i="6"/>
  <c r="AO247" i="6"/>
  <c r="BH247" i="6" s="1"/>
  <c r="AB247" i="6" s="1"/>
  <c r="AL247" i="6"/>
  <c r="AK247" i="6"/>
  <c r="AJ247" i="6"/>
  <c r="AH247" i="6"/>
  <c r="AG247" i="6"/>
  <c r="AF247" i="6"/>
  <c r="AE247" i="6"/>
  <c r="AD247" i="6"/>
  <c r="AC247" i="6"/>
  <c r="Z247" i="6"/>
  <c r="I247" i="6"/>
  <c r="BJ246" i="6"/>
  <c r="BI246" i="6"/>
  <c r="BH246" i="6"/>
  <c r="BF246" i="6"/>
  <c r="BD246" i="6"/>
  <c r="AX246" i="6"/>
  <c r="AW246" i="6"/>
  <c r="BC246" i="6" s="1"/>
  <c r="AV246" i="6"/>
  <c r="AP246" i="6"/>
  <c r="AO246" i="6"/>
  <c r="AL246" i="6"/>
  <c r="AK246" i="6"/>
  <c r="AT238" i="6" s="1"/>
  <c r="AJ246" i="6"/>
  <c r="AH246" i="6"/>
  <c r="AG246" i="6"/>
  <c r="AF246" i="6"/>
  <c r="AE246" i="6"/>
  <c r="AD246" i="6"/>
  <c r="AC246" i="6"/>
  <c r="AB246" i="6"/>
  <c r="Z246" i="6"/>
  <c r="I246" i="6"/>
  <c r="BJ245" i="6"/>
  <c r="BI245" i="6"/>
  <c r="AC245" i="6" s="1"/>
  <c r="BH245" i="6"/>
  <c r="BF245" i="6"/>
  <c r="BD245" i="6"/>
  <c r="AW245" i="6"/>
  <c r="BC245" i="6" s="1"/>
  <c r="AV245" i="6"/>
  <c r="AP245" i="6"/>
  <c r="AX245" i="6" s="1"/>
  <c r="AO245" i="6"/>
  <c r="AK245" i="6"/>
  <c r="AJ245" i="6"/>
  <c r="AH245" i="6"/>
  <c r="AG245" i="6"/>
  <c r="AF245" i="6"/>
  <c r="AE245" i="6"/>
  <c r="AD245" i="6"/>
  <c r="AB245" i="6"/>
  <c r="Z245" i="6"/>
  <c r="I245" i="6"/>
  <c r="AL245" i="6" s="1"/>
  <c r="BJ244" i="6"/>
  <c r="BF244" i="6"/>
  <c r="BD244" i="6"/>
  <c r="AP244" i="6"/>
  <c r="AO244" i="6"/>
  <c r="AK244" i="6"/>
  <c r="AJ244" i="6"/>
  <c r="AH244" i="6"/>
  <c r="AG244" i="6"/>
  <c r="AF244" i="6"/>
  <c r="AE244" i="6"/>
  <c r="AD244" i="6"/>
  <c r="Z244" i="6"/>
  <c r="I244" i="6"/>
  <c r="AL244" i="6" s="1"/>
  <c r="BJ242" i="6"/>
  <c r="BF242" i="6"/>
  <c r="BD242" i="6"/>
  <c r="AP242" i="6"/>
  <c r="BI242" i="6" s="1"/>
  <c r="AC242" i="6" s="1"/>
  <c r="AO242" i="6"/>
  <c r="AK242" i="6"/>
  <c r="AJ242" i="6"/>
  <c r="AH242" i="6"/>
  <c r="AG242" i="6"/>
  <c r="AF242" i="6"/>
  <c r="AE242" i="6"/>
  <c r="AD242" i="6"/>
  <c r="Z242" i="6"/>
  <c r="I242" i="6"/>
  <c r="AL242" i="6" s="1"/>
  <c r="BJ241" i="6"/>
  <c r="BF241" i="6"/>
  <c r="BD241" i="6"/>
  <c r="AX241" i="6"/>
  <c r="AP241" i="6"/>
  <c r="BI241" i="6" s="1"/>
  <c r="AC241" i="6" s="1"/>
  <c r="AO241" i="6"/>
  <c r="BH241" i="6" s="1"/>
  <c r="AB241" i="6" s="1"/>
  <c r="AL241" i="6"/>
  <c r="AK241" i="6"/>
  <c r="AJ241" i="6"/>
  <c r="AH241" i="6"/>
  <c r="AG241" i="6"/>
  <c r="AF241" i="6"/>
  <c r="AE241" i="6"/>
  <c r="AD241" i="6"/>
  <c r="Z241" i="6"/>
  <c r="I241" i="6"/>
  <c r="BJ239" i="6"/>
  <c r="BI239" i="6"/>
  <c r="BF239" i="6"/>
  <c r="BD239" i="6"/>
  <c r="AW239" i="6"/>
  <c r="AP239" i="6"/>
  <c r="AX239" i="6" s="1"/>
  <c r="AO239" i="6"/>
  <c r="BH239" i="6" s="1"/>
  <c r="AB239" i="6" s="1"/>
  <c r="AL239" i="6"/>
  <c r="AK239" i="6"/>
  <c r="AJ239" i="6"/>
  <c r="AH239" i="6"/>
  <c r="AG239" i="6"/>
  <c r="AF239" i="6"/>
  <c r="AE239" i="6"/>
  <c r="AD239" i="6"/>
  <c r="AC239" i="6"/>
  <c r="Z239" i="6"/>
  <c r="I239" i="6"/>
  <c r="AS238" i="6"/>
  <c r="BJ237" i="6"/>
  <c r="BF237" i="6"/>
  <c r="BD237" i="6"/>
  <c r="AP237" i="6"/>
  <c r="AO237" i="6"/>
  <c r="AW237" i="6" s="1"/>
  <c r="AK237" i="6"/>
  <c r="AJ237" i="6"/>
  <c r="AH237" i="6"/>
  <c r="AG237" i="6"/>
  <c r="AF237" i="6"/>
  <c r="AE237" i="6"/>
  <c r="AD237" i="6"/>
  <c r="Z237" i="6"/>
  <c r="I237" i="6"/>
  <c r="AL237" i="6" s="1"/>
  <c r="AU236" i="6" s="1"/>
  <c r="AT236" i="6"/>
  <c r="AS236" i="6"/>
  <c r="BJ235" i="6"/>
  <c r="BI235" i="6"/>
  <c r="BF235" i="6"/>
  <c r="BD235" i="6"/>
  <c r="AX235" i="6"/>
  <c r="AW235" i="6"/>
  <c r="AP235" i="6"/>
  <c r="AO235" i="6"/>
  <c r="BH235" i="6" s="1"/>
  <c r="AB235" i="6" s="1"/>
  <c r="AL235" i="6"/>
  <c r="AU234" i="6" s="1"/>
  <c r="AK235" i="6"/>
  <c r="AJ235" i="6"/>
  <c r="AH235" i="6"/>
  <c r="AG235" i="6"/>
  <c r="AF235" i="6"/>
  <c r="AE235" i="6"/>
  <c r="AD235" i="6"/>
  <c r="AC235" i="6"/>
  <c r="Z235" i="6"/>
  <c r="I235" i="6"/>
  <c r="I234" i="6" s="1"/>
  <c r="AT234" i="6"/>
  <c r="AS234" i="6"/>
  <c r="BJ233" i="6"/>
  <c r="BF233" i="6"/>
  <c r="BD233" i="6"/>
  <c r="AP233" i="6"/>
  <c r="BI233" i="6" s="1"/>
  <c r="AE233" i="6" s="1"/>
  <c r="AO233" i="6"/>
  <c r="AK233" i="6"/>
  <c r="AT231" i="6" s="1"/>
  <c r="AJ233" i="6"/>
  <c r="AH233" i="6"/>
  <c r="AG233" i="6"/>
  <c r="AF233" i="6"/>
  <c r="AC233" i="6"/>
  <c r="AB233" i="6"/>
  <c r="Z233" i="6"/>
  <c r="I233" i="6"/>
  <c r="AL233" i="6" s="1"/>
  <c r="BJ232" i="6"/>
  <c r="BF232" i="6"/>
  <c r="BD232" i="6"/>
  <c r="AP232" i="6"/>
  <c r="AO232" i="6"/>
  <c r="BH232" i="6" s="1"/>
  <c r="AD232" i="6" s="1"/>
  <c r="AL232" i="6"/>
  <c r="AK232" i="6"/>
  <c r="AJ232" i="6"/>
  <c r="AH232" i="6"/>
  <c r="AG232" i="6"/>
  <c r="AF232" i="6"/>
  <c r="AC232" i="6"/>
  <c r="AB232" i="6"/>
  <c r="Z232" i="6"/>
  <c r="I232" i="6"/>
  <c r="I231" i="6" s="1"/>
  <c r="AU231" i="6"/>
  <c r="AS231" i="6"/>
  <c r="BJ229" i="6"/>
  <c r="BI229" i="6"/>
  <c r="AE229" i="6" s="1"/>
  <c r="BH229" i="6"/>
  <c r="BF229" i="6"/>
  <c r="BD229" i="6"/>
  <c r="AX229" i="6"/>
  <c r="AP229" i="6"/>
  <c r="AO229" i="6"/>
  <c r="AW229" i="6" s="1"/>
  <c r="AK229" i="6"/>
  <c r="AJ229" i="6"/>
  <c r="AH229" i="6"/>
  <c r="AG229" i="6"/>
  <c r="AF229" i="6"/>
  <c r="AD229" i="6"/>
  <c r="AC229" i="6"/>
  <c r="AB229" i="6"/>
  <c r="Z229" i="6"/>
  <c r="I229" i="6"/>
  <c r="AL229" i="6" s="1"/>
  <c r="AU228" i="6" s="1"/>
  <c r="AT228" i="6"/>
  <c r="AS228" i="6"/>
  <c r="I228" i="6"/>
  <c r="BJ227" i="6"/>
  <c r="BF227" i="6"/>
  <c r="BD227" i="6"/>
  <c r="AP227" i="6"/>
  <c r="BI227" i="6" s="1"/>
  <c r="AO227" i="6"/>
  <c r="AL227" i="6"/>
  <c r="AK227" i="6"/>
  <c r="AJ227" i="6"/>
  <c r="AH227" i="6"/>
  <c r="AG227" i="6"/>
  <c r="AF227" i="6"/>
  <c r="AE227" i="6"/>
  <c r="AD227" i="6"/>
  <c r="AC227" i="6"/>
  <c r="AB227" i="6"/>
  <c r="Z227" i="6"/>
  <c r="I227" i="6"/>
  <c r="BJ225" i="6"/>
  <c r="BF225" i="6"/>
  <c r="BD225" i="6"/>
  <c r="AX225" i="6"/>
  <c r="AP225" i="6"/>
  <c r="BI225" i="6" s="1"/>
  <c r="AE225" i="6" s="1"/>
  <c r="AO225" i="6"/>
  <c r="BH225" i="6" s="1"/>
  <c r="AD225" i="6" s="1"/>
  <c r="AL225" i="6"/>
  <c r="AK225" i="6"/>
  <c r="AJ225" i="6"/>
  <c r="AH225" i="6"/>
  <c r="AG225" i="6"/>
  <c r="AF225" i="6"/>
  <c r="AC225" i="6"/>
  <c r="AB225" i="6"/>
  <c r="Z225" i="6"/>
  <c r="I225" i="6"/>
  <c r="BJ224" i="6"/>
  <c r="BI224" i="6"/>
  <c r="AE224" i="6" s="1"/>
  <c r="BF224" i="6"/>
  <c r="BD224" i="6"/>
  <c r="BC224" i="6"/>
  <c r="AW224" i="6"/>
  <c r="AP224" i="6"/>
  <c r="AX224" i="6" s="1"/>
  <c r="AO224" i="6"/>
  <c r="BH224" i="6" s="1"/>
  <c r="AD224" i="6" s="1"/>
  <c r="AL224" i="6"/>
  <c r="AK224" i="6"/>
  <c r="AJ224" i="6"/>
  <c r="AH224" i="6"/>
  <c r="AG224" i="6"/>
  <c r="AF224" i="6"/>
  <c r="AC224" i="6"/>
  <c r="AB224" i="6"/>
  <c r="Z224" i="6"/>
  <c r="I224" i="6"/>
  <c r="BJ223" i="6"/>
  <c r="BI223" i="6"/>
  <c r="AE223" i="6" s="1"/>
  <c r="BH223" i="6"/>
  <c r="BF223" i="6"/>
  <c r="BD223" i="6"/>
  <c r="AX223" i="6"/>
  <c r="AV223" i="6" s="1"/>
  <c r="AP223" i="6"/>
  <c r="AO223" i="6"/>
  <c r="AW223" i="6" s="1"/>
  <c r="AK223" i="6"/>
  <c r="AJ223" i="6"/>
  <c r="AH223" i="6"/>
  <c r="AG223" i="6"/>
  <c r="AF223" i="6"/>
  <c r="AD223" i="6"/>
  <c r="AC223" i="6"/>
  <c r="AB223" i="6"/>
  <c r="Z223" i="6"/>
  <c r="I223" i="6"/>
  <c r="AL223" i="6" s="1"/>
  <c r="BJ222" i="6"/>
  <c r="BH222" i="6"/>
  <c r="AD222" i="6" s="1"/>
  <c r="BF222" i="6"/>
  <c r="BD222" i="6"/>
  <c r="AW222" i="6"/>
  <c r="AP222" i="6"/>
  <c r="AO222" i="6"/>
  <c r="AL222" i="6"/>
  <c r="AK222" i="6"/>
  <c r="AJ222" i="6"/>
  <c r="AH222" i="6"/>
  <c r="AG222" i="6"/>
  <c r="AF222" i="6"/>
  <c r="AC222" i="6"/>
  <c r="AB222" i="6"/>
  <c r="Z222" i="6"/>
  <c r="I222" i="6"/>
  <c r="BJ221" i="6"/>
  <c r="BF221" i="6"/>
  <c r="BD221" i="6"/>
  <c r="AP221" i="6"/>
  <c r="BI221" i="6" s="1"/>
  <c r="AE221" i="6" s="1"/>
  <c r="AO221" i="6"/>
  <c r="AK221" i="6"/>
  <c r="AJ221" i="6"/>
  <c r="AH221" i="6"/>
  <c r="AG221" i="6"/>
  <c r="AF221" i="6"/>
  <c r="AC221" i="6"/>
  <c r="AB221" i="6"/>
  <c r="Z221" i="6"/>
  <c r="I221" i="6"/>
  <c r="AL221" i="6" s="1"/>
  <c r="BJ220" i="6"/>
  <c r="BF220" i="6"/>
  <c r="BD220" i="6"/>
  <c r="AP220" i="6"/>
  <c r="AO220" i="6"/>
  <c r="BH220" i="6" s="1"/>
  <c r="AD220" i="6" s="1"/>
  <c r="AL220" i="6"/>
  <c r="AK220" i="6"/>
  <c r="AJ220" i="6"/>
  <c r="AH220" i="6"/>
  <c r="AG220" i="6"/>
  <c r="AF220" i="6"/>
  <c r="AC220" i="6"/>
  <c r="AB220" i="6"/>
  <c r="Z220" i="6"/>
  <c r="I220" i="6"/>
  <c r="BJ218" i="6"/>
  <c r="BF218" i="6"/>
  <c r="BD218" i="6"/>
  <c r="AX218" i="6"/>
  <c r="AP218" i="6"/>
  <c r="BI218" i="6" s="1"/>
  <c r="AO218" i="6"/>
  <c r="AK218" i="6"/>
  <c r="AJ218" i="6"/>
  <c r="AH218" i="6"/>
  <c r="AG218" i="6"/>
  <c r="AF218" i="6"/>
  <c r="AE218" i="6"/>
  <c r="AC218" i="6"/>
  <c r="AB218" i="6"/>
  <c r="Z218" i="6"/>
  <c r="I218" i="6"/>
  <c r="AL218" i="6" s="1"/>
  <c r="BJ216" i="6"/>
  <c r="BI216" i="6"/>
  <c r="AE216" i="6" s="1"/>
  <c r="BF216" i="6"/>
  <c r="BD216" i="6"/>
  <c r="AX216" i="6"/>
  <c r="AW216" i="6"/>
  <c r="AP216" i="6"/>
  <c r="AO216" i="6"/>
  <c r="BH216" i="6" s="1"/>
  <c r="AL216" i="6"/>
  <c r="AK216" i="6"/>
  <c r="AJ216" i="6"/>
  <c r="AH216" i="6"/>
  <c r="AG216" i="6"/>
  <c r="AF216" i="6"/>
  <c r="AD216" i="6"/>
  <c r="AC216" i="6"/>
  <c r="AB216" i="6"/>
  <c r="Z216" i="6"/>
  <c r="I216" i="6"/>
  <c r="BJ215" i="6"/>
  <c r="BI215" i="6"/>
  <c r="BH215" i="6"/>
  <c r="AD215" i="6" s="1"/>
  <c r="BF215" i="6"/>
  <c r="BD215" i="6"/>
  <c r="AX215" i="6"/>
  <c r="AW215" i="6"/>
  <c r="BC215" i="6" s="1"/>
  <c r="AV215" i="6"/>
  <c r="AP215" i="6"/>
  <c r="AO215" i="6"/>
  <c r="AL215" i="6"/>
  <c r="AK215" i="6"/>
  <c r="AJ215" i="6"/>
  <c r="AH215" i="6"/>
  <c r="AG215" i="6"/>
  <c r="AF215" i="6"/>
  <c r="AE215" i="6"/>
  <c r="AC215" i="6"/>
  <c r="AB215" i="6"/>
  <c r="Z215" i="6"/>
  <c r="I215" i="6"/>
  <c r="BJ214" i="6"/>
  <c r="BF214" i="6"/>
  <c r="BD214" i="6"/>
  <c r="AW214" i="6"/>
  <c r="AP214" i="6"/>
  <c r="AX214" i="6" s="1"/>
  <c r="AV214" i="6" s="1"/>
  <c r="AO214" i="6"/>
  <c r="BH214" i="6" s="1"/>
  <c r="AD214" i="6" s="1"/>
  <c r="AL214" i="6"/>
  <c r="AK214" i="6"/>
  <c r="AJ214" i="6"/>
  <c r="AH214" i="6"/>
  <c r="AG214" i="6"/>
  <c r="AF214" i="6"/>
  <c r="AC214" i="6"/>
  <c r="AB214" i="6"/>
  <c r="Z214" i="6"/>
  <c r="I214" i="6"/>
  <c r="BJ213" i="6"/>
  <c r="BF213" i="6"/>
  <c r="BD213" i="6"/>
  <c r="AP213" i="6"/>
  <c r="AO213" i="6"/>
  <c r="AK213" i="6"/>
  <c r="AJ213" i="6"/>
  <c r="AH213" i="6"/>
  <c r="AG213" i="6"/>
  <c r="AF213" i="6"/>
  <c r="AC213" i="6"/>
  <c r="AB213" i="6"/>
  <c r="Z213" i="6"/>
  <c r="I213" i="6"/>
  <c r="AL213" i="6" s="1"/>
  <c r="BJ212" i="6"/>
  <c r="BF212" i="6"/>
  <c r="BD212" i="6"/>
  <c r="AP212" i="6"/>
  <c r="BI212" i="6" s="1"/>
  <c r="AO212" i="6"/>
  <c r="AL212" i="6"/>
  <c r="AK212" i="6"/>
  <c r="AJ212" i="6"/>
  <c r="AH212" i="6"/>
  <c r="AG212" i="6"/>
  <c r="AF212" i="6"/>
  <c r="AE212" i="6"/>
  <c r="AC212" i="6"/>
  <c r="AB212" i="6"/>
  <c r="Z212" i="6"/>
  <c r="I212" i="6"/>
  <c r="BJ211" i="6"/>
  <c r="BF211" i="6"/>
  <c r="BD211" i="6"/>
  <c r="AX211" i="6"/>
  <c r="AP211" i="6"/>
  <c r="BI211" i="6" s="1"/>
  <c r="AE211" i="6" s="1"/>
  <c r="AO211" i="6"/>
  <c r="BH211" i="6" s="1"/>
  <c r="AL211" i="6"/>
  <c r="AU209" i="6" s="1"/>
  <c r="AK211" i="6"/>
  <c r="AJ211" i="6"/>
  <c r="AH211" i="6"/>
  <c r="AG211" i="6"/>
  <c r="AF211" i="6"/>
  <c r="AD211" i="6"/>
  <c r="AC211" i="6"/>
  <c r="AB211" i="6"/>
  <c r="Z211" i="6"/>
  <c r="I211" i="6"/>
  <c r="BJ210" i="6"/>
  <c r="BI210" i="6"/>
  <c r="BF210" i="6"/>
  <c r="BD210" i="6"/>
  <c r="BC210" i="6"/>
  <c r="AW210" i="6"/>
  <c r="AV210" i="6" s="1"/>
  <c r="AP210" i="6"/>
  <c r="AX210" i="6" s="1"/>
  <c r="AO210" i="6"/>
  <c r="BH210" i="6" s="1"/>
  <c r="AD210" i="6" s="1"/>
  <c r="AL210" i="6"/>
  <c r="AK210" i="6"/>
  <c r="AJ210" i="6"/>
  <c r="AH210" i="6"/>
  <c r="AG210" i="6"/>
  <c r="AF210" i="6"/>
  <c r="AE210" i="6"/>
  <c r="AC210" i="6"/>
  <c r="AB210" i="6"/>
  <c r="Z210" i="6"/>
  <c r="I210" i="6"/>
  <c r="BJ208" i="6"/>
  <c r="BF208" i="6"/>
  <c r="BD208" i="6"/>
  <c r="AP208" i="6"/>
  <c r="AO208" i="6"/>
  <c r="AK208" i="6"/>
  <c r="AJ208" i="6"/>
  <c r="AH208" i="6"/>
  <c r="AG208" i="6"/>
  <c r="AF208" i="6"/>
  <c r="AE208" i="6"/>
  <c r="AD208" i="6"/>
  <c r="AC208" i="6"/>
  <c r="AB208" i="6"/>
  <c r="Z208" i="6"/>
  <c r="I208" i="6"/>
  <c r="AL208" i="6" s="1"/>
  <c r="BJ207" i="6"/>
  <c r="BF207" i="6"/>
  <c r="BD207" i="6"/>
  <c r="AP207" i="6"/>
  <c r="BI207" i="6" s="1"/>
  <c r="AO207" i="6"/>
  <c r="AL207" i="6"/>
  <c r="AK207" i="6"/>
  <c r="AJ207" i="6"/>
  <c r="AH207" i="6"/>
  <c r="AG207" i="6"/>
  <c r="AF207" i="6"/>
  <c r="AE207" i="6"/>
  <c r="AC207" i="6"/>
  <c r="AB207" i="6"/>
  <c r="Z207" i="6"/>
  <c r="I207" i="6"/>
  <c r="BJ206" i="6"/>
  <c r="BF206" i="6"/>
  <c r="BD206" i="6"/>
  <c r="AX206" i="6"/>
  <c r="AP206" i="6"/>
  <c r="BI206" i="6" s="1"/>
  <c r="AE206" i="6" s="1"/>
  <c r="AO206" i="6"/>
  <c r="BH206" i="6" s="1"/>
  <c r="AL206" i="6"/>
  <c r="AK206" i="6"/>
  <c r="AJ206" i="6"/>
  <c r="AH206" i="6"/>
  <c r="AG206" i="6"/>
  <c r="AF206" i="6"/>
  <c r="AD206" i="6"/>
  <c r="AC206" i="6"/>
  <c r="AB206" i="6"/>
  <c r="Z206" i="6"/>
  <c r="I206" i="6"/>
  <c r="BJ205" i="6"/>
  <c r="BI205" i="6"/>
  <c r="BF205" i="6"/>
  <c r="BD205" i="6"/>
  <c r="BC205" i="6"/>
  <c r="AW205" i="6"/>
  <c r="AV205" i="6" s="1"/>
  <c r="AP205" i="6"/>
  <c r="AX205" i="6" s="1"/>
  <c r="AO205" i="6"/>
  <c r="BH205" i="6" s="1"/>
  <c r="AD205" i="6" s="1"/>
  <c r="AL205" i="6"/>
  <c r="AK205" i="6"/>
  <c r="AJ205" i="6"/>
  <c r="AH205" i="6"/>
  <c r="AG205" i="6"/>
  <c r="AF205" i="6"/>
  <c r="AE205" i="6"/>
  <c r="AC205" i="6"/>
  <c r="AB205" i="6"/>
  <c r="Z205" i="6"/>
  <c r="I205" i="6"/>
  <c r="BJ204" i="6"/>
  <c r="BI204" i="6"/>
  <c r="AE204" i="6" s="1"/>
  <c r="BH204" i="6"/>
  <c r="BF204" i="6"/>
  <c r="BD204" i="6"/>
  <c r="AX204" i="6"/>
  <c r="AP204" i="6"/>
  <c r="AO204" i="6"/>
  <c r="AW204" i="6" s="1"/>
  <c r="AK204" i="6"/>
  <c r="AT199" i="6" s="1"/>
  <c r="AJ204" i="6"/>
  <c r="AH204" i="6"/>
  <c r="AG204" i="6"/>
  <c r="AF204" i="6"/>
  <c r="AD204" i="6"/>
  <c r="AC204" i="6"/>
  <c r="AB204" i="6"/>
  <c r="Z204" i="6"/>
  <c r="I204" i="6"/>
  <c r="AL204" i="6" s="1"/>
  <c r="BJ203" i="6"/>
  <c r="BH203" i="6"/>
  <c r="AD203" i="6" s="1"/>
  <c r="BF203" i="6"/>
  <c r="BD203" i="6"/>
  <c r="AW203" i="6"/>
  <c r="AP203" i="6"/>
  <c r="AO203" i="6"/>
  <c r="AL203" i="6"/>
  <c r="AK203" i="6"/>
  <c r="AJ203" i="6"/>
  <c r="AH203" i="6"/>
  <c r="AG203" i="6"/>
  <c r="AF203" i="6"/>
  <c r="AC203" i="6"/>
  <c r="AB203" i="6"/>
  <c r="Z203" i="6"/>
  <c r="I203" i="6"/>
  <c r="BJ202" i="6"/>
  <c r="BI202" i="6"/>
  <c r="AE202" i="6" s="1"/>
  <c r="BF202" i="6"/>
  <c r="BD202" i="6"/>
  <c r="AX202" i="6"/>
  <c r="AP202" i="6"/>
  <c r="AO202" i="6"/>
  <c r="AK202" i="6"/>
  <c r="AJ202" i="6"/>
  <c r="AH202" i="6"/>
  <c r="AG202" i="6"/>
  <c r="AF202" i="6"/>
  <c r="AC202" i="6"/>
  <c r="AB202" i="6"/>
  <c r="Z202" i="6"/>
  <c r="I202" i="6"/>
  <c r="BJ200" i="6"/>
  <c r="BH200" i="6"/>
  <c r="AD200" i="6" s="1"/>
  <c r="BF200" i="6"/>
  <c r="BD200" i="6"/>
  <c r="AW200" i="6"/>
  <c r="AP200" i="6"/>
  <c r="AO200" i="6"/>
  <c r="AL200" i="6"/>
  <c r="AK200" i="6"/>
  <c r="AJ200" i="6"/>
  <c r="AH200" i="6"/>
  <c r="AG200" i="6"/>
  <c r="AF200" i="6"/>
  <c r="AC200" i="6"/>
  <c r="AB200" i="6"/>
  <c r="Z200" i="6"/>
  <c r="I200" i="6"/>
  <c r="BJ198" i="6"/>
  <c r="Z198" i="6" s="1"/>
  <c r="BI198" i="6"/>
  <c r="BH198" i="6"/>
  <c r="BF198" i="6"/>
  <c r="BD198" i="6"/>
  <c r="AX198" i="6"/>
  <c r="AP198" i="6"/>
  <c r="AO198" i="6"/>
  <c r="AW198" i="6" s="1"/>
  <c r="BC198" i="6" s="1"/>
  <c r="AK198" i="6"/>
  <c r="AJ198" i="6"/>
  <c r="AH198" i="6"/>
  <c r="AG198" i="6"/>
  <c r="AF198" i="6"/>
  <c r="AE198" i="6"/>
  <c r="AD198" i="6"/>
  <c r="AC198" i="6"/>
  <c r="AB198" i="6"/>
  <c r="I198" i="6"/>
  <c r="AL198" i="6" s="1"/>
  <c r="BJ196" i="6"/>
  <c r="BH196" i="6"/>
  <c r="AD196" i="6" s="1"/>
  <c r="BF196" i="6"/>
  <c r="BD196" i="6"/>
  <c r="AW196" i="6"/>
  <c r="AP196" i="6"/>
  <c r="AO196" i="6"/>
  <c r="AK196" i="6"/>
  <c r="AJ196" i="6"/>
  <c r="AH196" i="6"/>
  <c r="AG196" i="6"/>
  <c r="AF196" i="6"/>
  <c r="AC196" i="6"/>
  <c r="AB196" i="6"/>
  <c r="Z196" i="6"/>
  <c r="I196" i="6"/>
  <c r="AL196" i="6" s="1"/>
  <c r="BJ194" i="6"/>
  <c r="BI194" i="6"/>
  <c r="AE194" i="6" s="1"/>
  <c r="BF194" i="6"/>
  <c r="BD194" i="6"/>
  <c r="AX194" i="6"/>
  <c r="AP194" i="6"/>
  <c r="AO194" i="6"/>
  <c r="AK194" i="6"/>
  <c r="AJ194" i="6"/>
  <c r="AH194" i="6"/>
  <c r="AG194" i="6"/>
  <c r="AF194" i="6"/>
  <c r="AC194" i="6"/>
  <c r="AB194" i="6"/>
  <c r="Z194" i="6"/>
  <c r="I194" i="6"/>
  <c r="AL194" i="6" s="1"/>
  <c r="BJ192" i="6"/>
  <c r="BH192" i="6"/>
  <c r="AD192" i="6" s="1"/>
  <c r="BF192" i="6"/>
  <c r="BD192" i="6"/>
  <c r="AW192" i="6"/>
  <c r="AP192" i="6"/>
  <c r="AO192" i="6"/>
  <c r="AL192" i="6"/>
  <c r="AK192" i="6"/>
  <c r="AJ192" i="6"/>
  <c r="AH192" i="6"/>
  <c r="AG192" i="6"/>
  <c r="AF192" i="6"/>
  <c r="AC192" i="6"/>
  <c r="AB192" i="6"/>
  <c r="Z192" i="6"/>
  <c r="I192" i="6"/>
  <c r="BJ190" i="6"/>
  <c r="BI190" i="6"/>
  <c r="BF190" i="6"/>
  <c r="BD190" i="6"/>
  <c r="AX190" i="6"/>
  <c r="AP190" i="6"/>
  <c r="AO190" i="6"/>
  <c r="AK190" i="6"/>
  <c r="AJ190" i="6"/>
  <c r="AH190" i="6"/>
  <c r="AG190" i="6"/>
  <c r="AF190" i="6"/>
  <c r="AE190" i="6"/>
  <c r="AC190" i="6"/>
  <c r="AB190" i="6"/>
  <c r="Z190" i="6"/>
  <c r="I190" i="6"/>
  <c r="AL190" i="6" s="1"/>
  <c r="BJ189" i="6"/>
  <c r="BI189" i="6"/>
  <c r="AE189" i="6" s="1"/>
  <c r="BH189" i="6"/>
  <c r="BF189" i="6"/>
  <c r="BD189" i="6"/>
  <c r="AX189" i="6"/>
  <c r="AW189" i="6"/>
  <c r="AP189" i="6"/>
  <c r="AO189" i="6"/>
  <c r="AL189" i="6"/>
  <c r="AK189" i="6"/>
  <c r="AJ189" i="6"/>
  <c r="AH189" i="6"/>
  <c r="AG189" i="6"/>
  <c r="AF189" i="6"/>
  <c r="AD189" i="6"/>
  <c r="AC189" i="6"/>
  <c r="AB189" i="6"/>
  <c r="Z189" i="6"/>
  <c r="I189" i="6"/>
  <c r="BJ188" i="6"/>
  <c r="BH188" i="6"/>
  <c r="AD188" i="6" s="1"/>
  <c r="BF188" i="6"/>
  <c r="BD188" i="6"/>
  <c r="AX188" i="6"/>
  <c r="AW188" i="6"/>
  <c r="BC188" i="6" s="1"/>
  <c r="AV188" i="6"/>
  <c r="AP188" i="6"/>
  <c r="BI188" i="6" s="1"/>
  <c r="AE188" i="6" s="1"/>
  <c r="AO188" i="6"/>
  <c r="AK188" i="6"/>
  <c r="AJ188" i="6"/>
  <c r="AH188" i="6"/>
  <c r="AG188" i="6"/>
  <c r="AF188" i="6"/>
  <c r="AC188" i="6"/>
  <c r="AB188" i="6"/>
  <c r="Z188" i="6"/>
  <c r="I188" i="6"/>
  <c r="AL188" i="6" s="1"/>
  <c r="BJ187" i="6"/>
  <c r="BI187" i="6"/>
  <c r="AE187" i="6" s="1"/>
  <c r="BF187" i="6"/>
  <c r="BD187" i="6"/>
  <c r="AW187" i="6"/>
  <c r="BC187" i="6" s="1"/>
  <c r="AP187" i="6"/>
  <c r="AX187" i="6" s="1"/>
  <c r="AV187" i="6" s="1"/>
  <c r="AO187" i="6"/>
  <c r="BH187" i="6" s="1"/>
  <c r="AD187" i="6" s="1"/>
  <c r="AL187" i="6"/>
  <c r="AK187" i="6"/>
  <c r="AJ187" i="6"/>
  <c r="AS186" i="6" s="1"/>
  <c r="AH187" i="6"/>
  <c r="AG187" i="6"/>
  <c r="AF187" i="6"/>
  <c r="AC187" i="6"/>
  <c r="AB187" i="6"/>
  <c r="Z187" i="6"/>
  <c r="I187" i="6"/>
  <c r="BJ185" i="6"/>
  <c r="Z185" i="6" s="1"/>
  <c r="BF185" i="6"/>
  <c r="BD185" i="6"/>
  <c r="AX185" i="6"/>
  <c r="AP185" i="6"/>
  <c r="BI185" i="6" s="1"/>
  <c r="AO185" i="6"/>
  <c r="AK185" i="6"/>
  <c r="AJ185" i="6"/>
  <c r="AH185" i="6"/>
  <c r="AG185" i="6"/>
  <c r="AF185" i="6"/>
  <c r="AE185" i="6"/>
  <c r="AD185" i="6"/>
  <c r="AC185" i="6"/>
  <c r="AB185" i="6"/>
  <c r="I185" i="6"/>
  <c r="BJ184" i="6"/>
  <c r="BI184" i="6"/>
  <c r="AE184" i="6" s="1"/>
  <c r="BF184" i="6"/>
  <c r="BD184" i="6"/>
  <c r="AX184" i="6"/>
  <c r="AW184" i="6"/>
  <c r="AP184" i="6"/>
  <c r="AO184" i="6"/>
  <c r="BH184" i="6" s="1"/>
  <c r="AD184" i="6" s="1"/>
  <c r="AL184" i="6"/>
  <c r="AK184" i="6"/>
  <c r="AJ184" i="6"/>
  <c r="AS181" i="6" s="1"/>
  <c r="AH184" i="6"/>
  <c r="AG184" i="6"/>
  <c r="AF184" i="6"/>
  <c r="AC184" i="6"/>
  <c r="AB184" i="6"/>
  <c r="Z184" i="6"/>
  <c r="I184" i="6"/>
  <c r="BJ182" i="6"/>
  <c r="BH182" i="6"/>
  <c r="AD182" i="6" s="1"/>
  <c r="BF182" i="6"/>
  <c r="BD182" i="6"/>
  <c r="AX182" i="6"/>
  <c r="AW182" i="6"/>
  <c r="AP182" i="6"/>
  <c r="BI182" i="6" s="1"/>
  <c r="AE182" i="6" s="1"/>
  <c r="AO182" i="6"/>
  <c r="AK182" i="6"/>
  <c r="AJ182" i="6"/>
  <c r="AH182" i="6"/>
  <c r="AG182" i="6"/>
  <c r="AF182" i="6"/>
  <c r="AC182" i="6"/>
  <c r="AB182" i="6"/>
  <c r="Z182" i="6"/>
  <c r="I182" i="6"/>
  <c r="AL182" i="6" s="1"/>
  <c r="AT181" i="6"/>
  <c r="BJ180" i="6"/>
  <c r="BH180" i="6"/>
  <c r="BF180" i="6"/>
  <c r="BD180" i="6"/>
  <c r="AW180" i="6"/>
  <c r="AP180" i="6"/>
  <c r="AO180" i="6"/>
  <c r="AL180" i="6"/>
  <c r="AK180" i="6"/>
  <c r="AJ180" i="6"/>
  <c r="AH180" i="6"/>
  <c r="AG180" i="6"/>
  <c r="AF180" i="6"/>
  <c r="AE180" i="6"/>
  <c r="AD180" i="6"/>
  <c r="AC180" i="6"/>
  <c r="AB180" i="6"/>
  <c r="Z180" i="6"/>
  <c r="I180" i="6"/>
  <c r="BJ178" i="6"/>
  <c r="BF178" i="6"/>
  <c r="BD178" i="6"/>
  <c r="AX178" i="6"/>
  <c r="AP178" i="6"/>
  <c r="BI178" i="6" s="1"/>
  <c r="AO178" i="6"/>
  <c r="AK178" i="6"/>
  <c r="AJ178" i="6"/>
  <c r="AH178" i="6"/>
  <c r="AG178" i="6"/>
  <c r="AF178" i="6"/>
  <c r="AE178" i="6"/>
  <c r="AC178" i="6"/>
  <c r="AB178" i="6"/>
  <c r="Z178" i="6"/>
  <c r="I178" i="6"/>
  <c r="AL178" i="6" s="1"/>
  <c r="BJ176" i="6"/>
  <c r="BI176" i="6"/>
  <c r="AE176" i="6" s="1"/>
  <c r="BF176" i="6"/>
  <c r="BD176" i="6"/>
  <c r="AX176" i="6"/>
  <c r="AW176" i="6"/>
  <c r="AP176" i="6"/>
  <c r="AO176" i="6"/>
  <c r="BH176" i="6" s="1"/>
  <c r="AD176" i="6" s="1"/>
  <c r="AL176" i="6"/>
  <c r="AK176" i="6"/>
  <c r="AJ176" i="6"/>
  <c r="AH176" i="6"/>
  <c r="AG176" i="6"/>
  <c r="AF176" i="6"/>
  <c r="AC176" i="6"/>
  <c r="AB176" i="6"/>
  <c r="Z176" i="6"/>
  <c r="I176" i="6"/>
  <c r="BJ175" i="6"/>
  <c r="BH175" i="6"/>
  <c r="AD175" i="6" s="1"/>
  <c r="BF175" i="6"/>
  <c r="BD175" i="6"/>
  <c r="AX175" i="6"/>
  <c r="AW175" i="6"/>
  <c r="BC175" i="6" s="1"/>
  <c r="AV175" i="6"/>
  <c r="AP175" i="6"/>
  <c r="BI175" i="6" s="1"/>
  <c r="AE175" i="6" s="1"/>
  <c r="AO175" i="6"/>
  <c r="AK175" i="6"/>
  <c r="AJ175" i="6"/>
  <c r="AH175" i="6"/>
  <c r="AG175" i="6"/>
  <c r="AF175" i="6"/>
  <c r="AC175" i="6"/>
  <c r="AB175" i="6"/>
  <c r="Z175" i="6"/>
  <c r="I175" i="6"/>
  <c r="AL175" i="6" s="1"/>
  <c r="BJ174" i="6"/>
  <c r="BF174" i="6"/>
  <c r="BD174" i="6"/>
  <c r="AW174" i="6"/>
  <c r="AP174" i="6"/>
  <c r="AO174" i="6"/>
  <c r="BH174" i="6" s="1"/>
  <c r="AD174" i="6" s="1"/>
  <c r="AL174" i="6"/>
  <c r="AK174" i="6"/>
  <c r="AJ174" i="6"/>
  <c r="AS171" i="6" s="1"/>
  <c r="AH174" i="6"/>
  <c r="AG174" i="6"/>
  <c r="AF174" i="6"/>
  <c r="AC174" i="6"/>
  <c r="AB174" i="6"/>
  <c r="Z174" i="6"/>
  <c r="I174" i="6"/>
  <c r="BJ173" i="6"/>
  <c r="BH173" i="6"/>
  <c r="AD173" i="6" s="1"/>
  <c r="BF173" i="6"/>
  <c r="BD173" i="6"/>
  <c r="AP173" i="6"/>
  <c r="AO173" i="6"/>
  <c r="AW173" i="6" s="1"/>
  <c r="AK173" i="6"/>
  <c r="AJ173" i="6"/>
  <c r="AH173" i="6"/>
  <c r="AG173" i="6"/>
  <c r="AF173" i="6"/>
  <c r="AC173" i="6"/>
  <c r="AB173" i="6"/>
  <c r="Z173" i="6"/>
  <c r="I173" i="6"/>
  <c r="AL173" i="6" s="1"/>
  <c r="BJ172" i="6"/>
  <c r="BF172" i="6"/>
  <c r="BD172" i="6"/>
  <c r="AP172" i="6"/>
  <c r="AO172" i="6"/>
  <c r="AL172" i="6"/>
  <c r="AK172" i="6"/>
  <c r="AJ172" i="6"/>
  <c r="AH172" i="6"/>
  <c r="AG172" i="6"/>
  <c r="AF172" i="6"/>
  <c r="AC172" i="6"/>
  <c r="AB172" i="6"/>
  <c r="Z172" i="6"/>
  <c r="I172" i="6"/>
  <c r="BJ170" i="6"/>
  <c r="Z170" i="6" s="1"/>
  <c r="BH170" i="6"/>
  <c r="BF170" i="6"/>
  <c r="BD170" i="6"/>
  <c r="AX170" i="6"/>
  <c r="AW170" i="6"/>
  <c r="BC170" i="6" s="1"/>
  <c r="AP170" i="6"/>
  <c r="BI170" i="6" s="1"/>
  <c r="AO170" i="6"/>
  <c r="AK170" i="6"/>
  <c r="AJ170" i="6"/>
  <c r="AH170" i="6"/>
  <c r="AG170" i="6"/>
  <c r="AF170" i="6"/>
  <c r="AE170" i="6"/>
  <c r="AD170" i="6"/>
  <c r="AC170" i="6"/>
  <c r="AB170" i="6"/>
  <c r="I170" i="6"/>
  <c r="AL170" i="6" s="1"/>
  <c r="BJ169" i="6"/>
  <c r="BF169" i="6"/>
  <c r="BD169" i="6"/>
  <c r="AW169" i="6"/>
  <c r="AP169" i="6"/>
  <c r="AO169" i="6"/>
  <c r="BH169" i="6" s="1"/>
  <c r="AF169" i="6" s="1"/>
  <c r="AL169" i="6"/>
  <c r="AK169" i="6"/>
  <c r="AJ169" i="6"/>
  <c r="AH169" i="6"/>
  <c r="AE169" i="6"/>
  <c r="AD169" i="6"/>
  <c r="AC169" i="6"/>
  <c r="AB169" i="6"/>
  <c r="Z169" i="6"/>
  <c r="I169" i="6"/>
  <c r="BJ168" i="6"/>
  <c r="BH168" i="6"/>
  <c r="AD168" i="6" s="1"/>
  <c r="BF168" i="6"/>
  <c r="BD168" i="6"/>
  <c r="AP168" i="6"/>
  <c r="AO168" i="6"/>
  <c r="AW168" i="6" s="1"/>
  <c r="AK168" i="6"/>
  <c r="AJ168" i="6"/>
  <c r="AH168" i="6"/>
  <c r="AG168" i="6"/>
  <c r="AF168" i="6"/>
  <c r="AC168" i="6"/>
  <c r="AB168" i="6"/>
  <c r="Z168" i="6"/>
  <c r="I168" i="6"/>
  <c r="AL168" i="6" s="1"/>
  <c r="BJ167" i="6"/>
  <c r="BF167" i="6"/>
  <c r="BD167" i="6"/>
  <c r="AP167" i="6"/>
  <c r="AO167" i="6"/>
  <c r="AL167" i="6"/>
  <c r="AK167" i="6"/>
  <c r="AJ167" i="6"/>
  <c r="AH167" i="6"/>
  <c r="AG167" i="6"/>
  <c r="AF167" i="6"/>
  <c r="AC167" i="6"/>
  <c r="AB167" i="6"/>
  <c r="Z167" i="6"/>
  <c r="I167" i="6"/>
  <c r="BJ166" i="6"/>
  <c r="BF166" i="6"/>
  <c r="BD166" i="6"/>
  <c r="AX166" i="6"/>
  <c r="AP166" i="6"/>
  <c r="BI166" i="6" s="1"/>
  <c r="AE166" i="6" s="1"/>
  <c r="AO166" i="6"/>
  <c r="AK166" i="6"/>
  <c r="AJ166" i="6"/>
  <c r="AH166" i="6"/>
  <c r="AG166" i="6"/>
  <c r="AF166" i="6"/>
  <c r="AC166" i="6"/>
  <c r="AB166" i="6"/>
  <c r="Z166" i="6"/>
  <c r="I166" i="6"/>
  <c r="AL166" i="6" s="1"/>
  <c r="BJ164" i="6"/>
  <c r="BI164" i="6"/>
  <c r="AE164" i="6" s="1"/>
  <c r="BF164" i="6"/>
  <c r="BD164" i="6"/>
  <c r="AW164" i="6"/>
  <c r="AV164" i="6" s="1"/>
  <c r="AP164" i="6"/>
  <c r="AX164" i="6" s="1"/>
  <c r="AO164" i="6"/>
  <c r="BH164" i="6" s="1"/>
  <c r="AD164" i="6" s="1"/>
  <c r="AL164" i="6"/>
  <c r="AK164" i="6"/>
  <c r="AJ164" i="6"/>
  <c r="AH164" i="6"/>
  <c r="AG164" i="6"/>
  <c r="AF164" i="6"/>
  <c r="AC164" i="6"/>
  <c r="AB164" i="6"/>
  <c r="Z164" i="6"/>
  <c r="I164" i="6"/>
  <c r="BJ163" i="6"/>
  <c r="BI163" i="6"/>
  <c r="AE163" i="6" s="1"/>
  <c r="BH163" i="6"/>
  <c r="BF163" i="6"/>
  <c r="BD163" i="6"/>
  <c r="AX163" i="6"/>
  <c r="AV163" i="6"/>
  <c r="AP163" i="6"/>
  <c r="AO163" i="6"/>
  <c r="AW163" i="6" s="1"/>
  <c r="AL163" i="6"/>
  <c r="AK163" i="6"/>
  <c r="AJ163" i="6"/>
  <c r="AH163" i="6"/>
  <c r="AG163" i="6"/>
  <c r="AF163" i="6"/>
  <c r="AD163" i="6"/>
  <c r="AC163" i="6"/>
  <c r="AB163" i="6"/>
  <c r="Z163" i="6"/>
  <c r="I163" i="6"/>
  <c r="BJ161" i="6"/>
  <c r="BH161" i="6"/>
  <c r="AD161" i="6" s="1"/>
  <c r="BF161" i="6"/>
  <c r="BD161" i="6"/>
  <c r="AW161" i="6"/>
  <c r="AP161" i="6"/>
  <c r="AO161" i="6"/>
  <c r="AK161" i="6"/>
  <c r="AJ161" i="6"/>
  <c r="AH161" i="6"/>
  <c r="AG161" i="6"/>
  <c r="AF161" i="6"/>
  <c r="AC161" i="6"/>
  <c r="AB161" i="6"/>
  <c r="Z161" i="6"/>
  <c r="I161" i="6"/>
  <c r="AL161" i="6" s="1"/>
  <c r="BJ160" i="6"/>
  <c r="BI160" i="6"/>
  <c r="AE160" i="6" s="1"/>
  <c r="BH160" i="6"/>
  <c r="AD160" i="6" s="1"/>
  <c r="BF160" i="6"/>
  <c r="BD160" i="6"/>
  <c r="AX160" i="6"/>
  <c r="AV160" i="6"/>
  <c r="AP160" i="6"/>
  <c r="AO160" i="6"/>
  <c r="AW160" i="6" s="1"/>
  <c r="BC160" i="6" s="1"/>
  <c r="AK160" i="6"/>
  <c r="AJ160" i="6"/>
  <c r="AH160" i="6"/>
  <c r="AG160" i="6"/>
  <c r="AF160" i="6"/>
  <c r="AC160" i="6"/>
  <c r="AB160" i="6"/>
  <c r="Z160" i="6"/>
  <c r="I160" i="6"/>
  <c r="AL160" i="6" s="1"/>
  <c r="BJ158" i="6"/>
  <c r="Z158" i="6" s="1"/>
  <c r="BI158" i="6"/>
  <c r="BF158" i="6"/>
  <c r="BD158" i="6"/>
  <c r="AW158" i="6"/>
  <c r="AP158" i="6"/>
  <c r="AX158" i="6" s="1"/>
  <c r="AO158" i="6"/>
  <c r="BH158" i="6" s="1"/>
  <c r="AL158" i="6"/>
  <c r="AK158" i="6"/>
  <c r="AJ158" i="6"/>
  <c r="AH158" i="6"/>
  <c r="AG158" i="6"/>
  <c r="AF158" i="6"/>
  <c r="AE158" i="6"/>
  <c r="AD158" i="6"/>
  <c r="AC158" i="6"/>
  <c r="AB158" i="6"/>
  <c r="I158" i="6"/>
  <c r="BJ157" i="6"/>
  <c r="BI157" i="6"/>
  <c r="AE157" i="6" s="1"/>
  <c r="BH157" i="6"/>
  <c r="BF157" i="6"/>
  <c r="BD157" i="6"/>
  <c r="AX157" i="6"/>
  <c r="AP157" i="6"/>
  <c r="AO157" i="6"/>
  <c r="AW157" i="6" s="1"/>
  <c r="BC157" i="6" s="1"/>
  <c r="AL157" i="6"/>
  <c r="AK157" i="6"/>
  <c r="AJ157" i="6"/>
  <c r="AH157" i="6"/>
  <c r="AG157" i="6"/>
  <c r="AF157" i="6"/>
  <c r="AD157" i="6"/>
  <c r="AC157" i="6"/>
  <c r="AB157" i="6"/>
  <c r="Z157" i="6"/>
  <c r="I157" i="6"/>
  <c r="BJ155" i="6"/>
  <c r="BI155" i="6"/>
  <c r="AE155" i="6" s="1"/>
  <c r="BH155" i="6"/>
  <c r="AD155" i="6" s="1"/>
  <c r="BF155" i="6"/>
  <c r="BD155" i="6"/>
  <c r="AW155" i="6"/>
  <c r="AP155" i="6"/>
  <c r="AX155" i="6" s="1"/>
  <c r="AO155" i="6"/>
  <c r="AK155" i="6"/>
  <c r="AJ155" i="6"/>
  <c r="AH155" i="6"/>
  <c r="AG155" i="6"/>
  <c r="AF155" i="6"/>
  <c r="AC155" i="6"/>
  <c r="AB155" i="6"/>
  <c r="Z155" i="6"/>
  <c r="I155" i="6"/>
  <c r="AL155" i="6" s="1"/>
  <c r="BJ153" i="6"/>
  <c r="BI153" i="6"/>
  <c r="AE153" i="6" s="1"/>
  <c r="BF153" i="6"/>
  <c r="BD153" i="6"/>
  <c r="AX153" i="6"/>
  <c r="AP153" i="6"/>
  <c r="AO153" i="6"/>
  <c r="AW153" i="6" s="1"/>
  <c r="BC153" i="6" s="1"/>
  <c r="AK153" i="6"/>
  <c r="AJ153" i="6"/>
  <c r="AH153" i="6"/>
  <c r="AG153" i="6"/>
  <c r="AF153" i="6"/>
  <c r="AC153" i="6"/>
  <c r="AB153" i="6"/>
  <c r="Z153" i="6"/>
  <c r="I153" i="6"/>
  <c r="AL153" i="6" s="1"/>
  <c r="BJ151" i="6"/>
  <c r="BH151" i="6"/>
  <c r="AD151" i="6" s="1"/>
  <c r="BF151" i="6"/>
  <c r="BD151" i="6"/>
  <c r="AW151" i="6"/>
  <c r="AP151" i="6"/>
  <c r="AO151" i="6"/>
  <c r="AL151" i="6"/>
  <c r="AK151" i="6"/>
  <c r="AJ151" i="6"/>
  <c r="AH151" i="6"/>
  <c r="AG151" i="6"/>
  <c r="AF151" i="6"/>
  <c r="AC151" i="6"/>
  <c r="AB151" i="6"/>
  <c r="Z151" i="6"/>
  <c r="I151" i="6"/>
  <c r="BJ150" i="6"/>
  <c r="BF150" i="6"/>
  <c r="BD150" i="6"/>
  <c r="AX150" i="6"/>
  <c r="AP150" i="6"/>
  <c r="BI150" i="6" s="1"/>
  <c r="AE150" i="6" s="1"/>
  <c r="AO150" i="6"/>
  <c r="AK150" i="6"/>
  <c r="AJ150" i="6"/>
  <c r="AH150" i="6"/>
  <c r="AG150" i="6"/>
  <c r="AF150" i="6"/>
  <c r="AC150" i="6"/>
  <c r="AB150" i="6"/>
  <c r="Z150" i="6"/>
  <c r="I150" i="6"/>
  <c r="AL150" i="6" s="1"/>
  <c r="BJ149" i="6"/>
  <c r="BI149" i="6"/>
  <c r="BF149" i="6"/>
  <c r="BD149" i="6"/>
  <c r="BC149" i="6"/>
  <c r="AX149" i="6"/>
  <c r="AW149" i="6"/>
  <c r="AP149" i="6"/>
  <c r="AO149" i="6"/>
  <c r="BH149" i="6" s="1"/>
  <c r="AL149" i="6"/>
  <c r="AK149" i="6"/>
  <c r="AJ149" i="6"/>
  <c r="AH149" i="6"/>
  <c r="AG149" i="6"/>
  <c r="AF149" i="6"/>
  <c r="AE149" i="6"/>
  <c r="AD149" i="6"/>
  <c r="AC149" i="6"/>
  <c r="AB149" i="6"/>
  <c r="Z149" i="6"/>
  <c r="I149" i="6"/>
  <c r="BJ148" i="6"/>
  <c r="BH148" i="6"/>
  <c r="BF148" i="6"/>
  <c r="BD148" i="6"/>
  <c r="AX148" i="6"/>
  <c r="AW148" i="6"/>
  <c r="BC148" i="6" s="1"/>
  <c r="AP148" i="6"/>
  <c r="BI148" i="6" s="1"/>
  <c r="AE148" i="6" s="1"/>
  <c r="AO148" i="6"/>
  <c r="AK148" i="6"/>
  <c r="AJ148" i="6"/>
  <c r="AH148" i="6"/>
  <c r="AG148" i="6"/>
  <c r="AF148" i="6"/>
  <c r="AD148" i="6"/>
  <c r="AC148" i="6"/>
  <c r="AB148" i="6"/>
  <c r="Z148" i="6"/>
  <c r="I148" i="6"/>
  <c r="AL148" i="6" s="1"/>
  <c r="BJ147" i="6"/>
  <c r="BF147" i="6"/>
  <c r="BD147" i="6"/>
  <c r="AW147" i="6"/>
  <c r="AP147" i="6"/>
  <c r="BI147" i="6" s="1"/>
  <c r="AE147" i="6" s="1"/>
  <c r="AO147" i="6"/>
  <c r="BH147" i="6" s="1"/>
  <c r="AD147" i="6" s="1"/>
  <c r="AL147" i="6"/>
  <c r="AK147" i="6"/>
  <c r="AJ147" i="6"/>
  <c r="AS145" i="6" s="1"/>
  <c r="AH147" i="6"/>
  <c r="AG147" i="6"/>
  <c r="AF147" i="6"/>
  <c r="AC147" i="6"/>
  <c r="AB147" i="6"/>
  <c r="Z147" i="6"/>
  <c r="I147" i="6"/>
  <c r="BJ146" i="6"/>
  <c r="BH146" i="6"/>
  <c r="AD146" i="6" s="1"/>
  <c r="BF146" i="6"/>
  <c r="BD146" i="6"/>
  <c r="AW146" i="6"/>
  <c r="AP146" i="6"/>
  <c r="AO146" i="6"/>
  <c r="AK146" i="6"/>
  <c r="AT145" i="6" s="1"/>
  <c r="AJ146" i="6"/>
  <c r="AH146" i="6"/>
  <c r="AG146" i="6"/>
  <c r="AF146" i="6"/>
  <c r="AC146" i="6"/>
  <c r="AB146" i="6"/>
  <c r="Z146" i="6"/>
  <c r="I146" i="6"/>
  <c r="AL146" i="6" s="1"/>
  <c r="BJ144" i="6"/>
  <c r="BI144" i="6"/>
  <c r="BH144" i="6"/>
  <c r="BF144" i="6"/>
  <c r="BD144" i="6"/>
  <c r="AX144" i="6"/>
  <c r="AP144" i="6"/>
  <c r="AO144" i="6"/>
  <c r="AW144" i="6" s="1"/>
  <c r="AK144" i="6"/>
  <c r="AJ144" i="6"/>
  <c r="AS142" i="6" s="1"/>
  <c r="AH144" i="6"/>
  <c r="AG144" i="6"/>
  <c r="AF144" i="6"/>
  <c r="AE144" i="6"/>
  <c r="AD144" i="6"/>
  <c r="AC144" i="6"/>
  <c r="AB144" i="6"/>
  <c r="Z144" i="6"/>
  <c r="I144" i="6"/>
  <c r="AL144" i="6" s="1"/>
  <c r="BJ143" i="6"/>
  <c r="BH143" i="6"/>
  <c r="BF143" i="6"/>
  <c r="BD143" i="6"/>
  <c r="AX143" i="6"/>
  <c r="AP143" i="6"/>
  <c r="BI143" i="6" s="1"/>
  <c r="AO143" i="6"/>
  <c r="AW143" i="6" s="1"/>
  <c r="AV143" i="6" s="1"/>
  <c r="AK143" i="6"/>
  <c r="AJ143" i="6"/>
  <c r="AH143" i="6"/>
  <c r="AG143" i="6"/>
  <c r="AF143" i="6"/>
  <c r="AE143" i="6"/>
  <c r="AD143" i="6"/>
  <c r="AC143" i="6"/>
  <c r="AB143" i="6"/>
  <c r="Z143" i="6"/>
  <c r="I143" i="6"/>
  <c r="AL143" i="6" s="1"/>
  <c r="AT142" i="6"/>
  <c r="BJ141" i="6"/>
  <c r="BH141" i="6"/>
  <c r="AD141" i="6" s="1"/>
  <c r="BF141" i="6"/>
  <c r="BD141" i="6"/>
  <c r="AW141" i="6"/>
  <c r="AP141" i="6"/>
  <c r="BI141" i="6" s="1"/>
  <c r="AO141" i="6"/>
  <c r="AL141" i="6"/>
  <c r="AK141" i="6"/>
  <c r="AJ141" i="6"/>
  <c r="AH141" i="6"/>
  <c r="AG141" i="6"/>
  <c r="AF141" i="6"/>
  <c r="AE141" i="6"/>
  <c r="AC141" i="6"/>
  <c r="AB141" i="6"/>
  <c r="Z141" i="6"/>
  <c r="I141" i="6"/>
  <c r="AU140" i="6"/>
  <c r="AT140" i="6"/>
  <c r="AS140" i="6"/>
  <c r="I140" i="6"/>
  <c r="BJ139" i="6"/>
  <c r="Z139" i="6" s="1"/>
  <c r="BI139" i="6"/>
  <c r="BH139" i="6"/>
  <c r="BF139" i="6"/>
  <c r="BD139" i="6"/>
  <c r="AP139" i="6"/>
  <c r="AX139" i="6" s="1"/>
  <c r="BC139" i="6" s="1"/>
  <c r="AO139" i="6"/>
  <c r="AW139" i="6" s="1"/>
  <c r="AL139" i="6"/>
  <c r="AK139" i="6"/>
  <c r="AT137" i="6" s="1"/>
  <c r="AJ139" i="6"/>
  <c r="AH139" i="6"/>
  <c r="AG139" i="6"/>
  <c r="AF139" i="6"/>
  <c r="AE139" i="6"/>
  <c r="AD139" i="6"/>
  <c r="AC139" i="6"/>
  <c r="AB139" i="6"/>
  <c r="I139" i="6"/>
  <c r="BJ138" i="6"/>
  <c r="BI138" i="6"/>
  <c r="AE138" i="6" s="1"/>
  <c r="BH138" i="6"/>
  <c r="AD138" i="6" s="1"/>
  <c r="BF138" i="6"/>
  <c r="BD138" i="6"/>
  <c r="AX138" i="6"/>
  <c r="AP138" i="6"/>
  <c r="AO138" i="6"/>
  <c r="AW138" i="6" s="1"/>
  <c r="AK138" i="6"/>
  <c r="AJ138" i="6"/>
  <c r="AS137" i="6" s="1"/>
  <c r="AH138" i="6"/>
  <c r="AG138" i="6"/>
  <c r="AF138" i="6"/>
  <c r="AC138" i="6"/>
  <c r="AB138" i="6"/>
  <c r="Z138" i="6"/>
  <c r="I138" i="6"/>
  <c r="AL138" i="6" s="1"/>
  <c r="AU137" i="6" s="1"/>
  <c r="I137" i="6"/>
  <c r="BJ136" i="6"/>
  <c r="Z136" i="6" s="1"/>
  <c r="BI136" i="6"/>
  <c r="BF136" i="6"/>
  <c r="BD136" i="6"/>
  <c r="AP136" i="6"/>
  <c r="AX136" i="6" s="1"/>
  <c r="AO136" i="6"/>
  <c r="AK136" i="6"/>
  <c r="AJ136" i="6"/>
  <c r="AH136" i="6"/>
  <c r="AG136" i="6"/>
  <c r="AF136" i="6"/>
  <c r="AE136" i="6"/>
  <c r="AD136" i="6"/>
  <c r="AC136" i="6"/>
  <c r="AB136" i="6"/>
  <c r="I136" i="6"/>
  <c r="AL136" i="6" s="1"/>
  <c r="BJ134" i="6"/>
  <c r="BI134" i="6"/>
  <c r="AE134" i="6" s="1"/>
  <c r="BH134" i="6"/>
  <c r="AD134" i="6" s="1"/>
  <c r="BF134" i="6"/>
  <c r="BD134" i="6"/>
  <c r="AP134" i="6"/>
  <c r="AX134" i="6" s="1"/>
  <c r="AO134" i="6"/>
  <c r="AW134" i="6" s="1"/>
  <c r="AL134" i="6"/>
  <c r="AK134" i="6"/>
  <c r="AJ134" i="6"/>
  <c r="AH134" i="6"/>
  <c r="AG134" i="6"/>
  <c r="AF134" i="6"/>
  <c r="AC134" i="6"/>
  <c r="AB134" i="6"/>
  <c r="Z134" i="6"/>
  <c r="I134" i="6"/>
  <c r="BJ132" i="6"/>
  <c r="BI132" i="6"/>
  <c r="AE132" i="6" s="1"/>
  <c r="BH132" i="6"/>
  <c r="AD132" i="6" s="1"/>
  <c r="BF132" i="6"/>
  <c r="BD132" i="6"/>
  <c r="AX132" i="6"/>
  <c r="AP132" i="6"/>
  <c r="AO132" i="6"/>
  <c r="AW132" i="6" s="1"/>
  <c r="AL132" i="6"/>
  <c r="AK132" i="6"/>
  <c r="AJ132" i="6"/>
  <c r="AH132" i="6"/>
  <c r="AG132" i="6"/>
  <c r="AF132" i="6"/>
  <c r="AC132" i="6"/>
  <c r="AB132" i="6"/>
  <c r="Z132" i="6"/>
  <c r="I132" i="6"/>
  <c r="BJ130" i="6"/>
  <c r="BI130" i="6"/>
  <c r="AE130" i="6" s="1"/>
  <c r="BH130" i="6"/>
  <c r="AD130" i="6" s="1"/>
  <c r="BF130" i="6"/>
  <c r="BD130" i="6"/>
  <c r="AX130" i="6"/>
  <c r="AW130" i="6"/>
  <c r="BC130" i="6" s="1"/>
  <c r="AP130" i="6"/>
  <c r="AO130" i="6"/>
  <c r="AK130" i="6"/>
  <c r="AJ130" i="6"/>
  <c r="AH130" i="6"/>
  <c r="AG130" i="6"/>
  <c r="AF130" i="6"/>
  <c r="AC130" i="6"/>
  <c r="AB130" i="6"/>
  <c r="Z130" i="6"/>
  <c r="I130" i="6"/>
  <c r="AL130" i="6" s="1"/>
  <c r="BJ128" i="6"/>
  <c r="BI128" i="6"/>
  <c r="BH128" i="6"/>
  <c r="AD128" i="6" s="1"/>
  <c r="BF128" i="6"/>
  <c r="BD128" i="6"/>
  <c r="AW128" i="6"/>
  <c r="AP128" i="6"/>
  <c r="AX128" i="6" s="1"/>
  <c r="BC128" i="6" s="1"/>
  <c r="AO128" i="6"/>
  <c r="AK128" i="6"/>
  <c r="AJ128" i="6"/>
  <c r="AH128" i="6"/>
  <c r="AG128" i="6"/>
  <c r="AF128" i="6"/>
  <c r="AE128" i="6"/>
  <c r="AC128" i="6"/>
  <c r="AB128" i="6"/>
  <c r="Z128" i="6"/>
  <c r="I128" i="6"/>
  <c r="AL128" i="6" s="1"/>
  <c r="BJ126" i="6"/>
  <c r="BH126" i="6"/>
  <c r="BF126" i="6"/>
  <c r="BD126" i="6"/>
  <c r="AX126" i="6"/>
  <c r="AP126" i="6"/>
  <c r="BI126" i="6" s="1"/>
  <c r="AE126" i="6" s="1"/>
  <c r="AO126" i="6"/>
  <c r="AW126" i="6" s="1"/>
  <c r="AV126" i="6" s="1"/>
  <c r="AK126" i="6"/>
  <c r="AJ126" i="6"/>
  <c r="AH126" i="6"/>
  <c r="AG126" i="6"/>
  <c r="AF126" i="6"/>
  <c r="AD126" i="6"/>
  <c r="AC126" i="6"/>
  <c r="AB126" i="6"/>
  <c r="Z126" i="6"/>
  <c r="I126" i="6"/>
  <c r="AL126" i="6" s="1"/>
  <c r="BJ125" i="6"/>
  <c r="BF125" i="6"/>
  <c r="BD125" i="6"/>
  <c r="AX125" i="6"/>
  <c r="BC125" i="6" s="1"/>
  <c r="AW125" i="6"/>
  <c r="AV125" i="6" s="1"/>
  <c r="AP125" i="6"/>
  <c r="BI125" i="6" s="1"/>
  <c r="AO125" i="6"/>
  <c r="BH125" i="6" s="1"/>
  <c r="AK125" i="6"/>
  <c r="AJ125" i="6"/>
  <c r="AH125" i="6"/>
  <c r="AG125" i="6"/>
  <c r="AF125" i="6"/>
  <c r="AE125" i="6"/>
  <c r="AD125" i="6"/>
  <c r="AC125" i="6"/>
  <c r="AB125" i="6"/>
  <c r="Z125" i="6"/>
  <c r="I125" i="6"/>
  <c r="AL125" i="6" s="1"/>
  <c r="BJ124" i="6"/>
  <c r="BI124" i="6"/>
  <c r="BF124" i="6"/>
  <c r="BD124" i="6"/>
  <c r="AX124" i="6"/>
  <c r="BC124" i="6" s="1"/>
  <c r="AW124" i="6"/>
  <c r="AP124" i="6"/>
  <c r="AO124" i="6"/>
  <c r="BH124" i="6" s="1"/>
  <c r="AD124" i="6" s="1"/>
  <c r="AK124" i="6"/>
  <c r="AJ124" i="6"/>
  <c r="AH124" i="6"/>
  <c r="AG124" i="6"/>
  <c r="AF124" i="6"/>
  <c r="AE124" i="6"/>
  <c r="AC124" i="6"/>
  <c r="AB124" i="6"/>
  <c r="Z124" i="6"/>
  <c r="I124" i="6"/>
  <c r="AL124" i="6" s="1"/>
  <c r="BJ123" i="6"/>
  <c r="BH123" i="6"/>
  <c r="BF123" i="6"/>
  <c r="BD123" i="6"/>
  <c r="AX123" i="6"/>
  <c r="AW123" i="6"/>
  <c r="BC123" i="6" s="1"/>
  <c r="AP123" i="6"/>
  <c r="BI123" i="6" s="1"/>
  <c r="AE123" i="6" s="1"/>
  <c r="AO123" i="6"/>
  <c r="AK123" i="6"/>
  <c r="AJ123" i="6"/>
  <c r="AH123" i="6"/>
  <c r="AG123" i="6"/>
  <c r="AF123" i="6"/>
  <c r="AD123" i="6"/>
  <c r="AC123" i="6"/>
  <c r="AB123" i="6"/>
  <c r="Z123" i="6"/>
  <c r="I123" i="6"/>
  <c r="AL123" i="6" s="1"/>
  <c r="BJ121" i="6"/>
  <c r="BF121" i="6"/>
  <c r="BD121" i="6"/>
  <c r="AW121" i="6"/>
  <c r="AP121" i="6"/>
  <c r="AO121" i="6"/>
  <c r="BH121" i="6" s="1"/>
  <c r="AD121" i="6" s="1"/>
  <c r="AK121" i="6"/>
  <c r="AJ121" i="6"/>
  <c r="AH121" i="6"/>
  <c r="AG121" i="6"/>
  <c r="AF121" i="6"/>
  <c r="AC121" i="6"/>
  <c r="AB121" i="6"/>
  <c r="Z121" i="6"/>
  <c r="I121" i="6"/>
  <c r="AL121" i="6" s="1"/>
  <c r="BJ119" i="6"/>
  <c r="BF119" i="6"/>
  <c r="BD119" i="6"/>
  <c r="AP119" i="6"/>
  <c r="AO119" i="6"/>
  <c r="AK119" i="6"/>
  <c r="AJ119" i="6"/>
  <c r="AH119" i="6"/>
  <c r="AG119" i="6"/>
  <c r="AF119" i="6"/>
  <c r="AC119" i="6"/>
  <c r="AB119" i="6"/>
  <c r="Z119" i="6"/>
  <c r="I119" i="6"/>
  <c r="AL119" i="6" s="1"/>
  <c r="BJ118" i="6"/>
  <c r="BF118" i="6"/>
  <c r="BD118" i="6"/>
  <c r="AP118" i="6"/>
  <c r="AO118" i="6"/>
  <c r="AL118" i="6"/>
  <c r="AK118" i="6"/>
  <c r="AJ118" i="6"/>
  <c r="AH118" i="6"/>
  <c r="AG118" i="6"/>
  <c r="AF118" i="6"/>
  <c r="AC118" i="6"/>
  <c r="AB118" i="6"/>
  <c r="Z118" i="6"/>
  <c r="I118" i="6"/>
  <c r="BJ117" i="6"/>
  <c r="BI117" i="6"/>
  <c r="AE117" i="6" s="1"/>
  <c r="BF117" i="6"/>
  <c r="BD117" i="6"/>
  <c r="AP117" i="6"/>
  <c r="AX117" i="6" s="1"/>
  <c r="AO117" i="6"/>
  <c r="AL117" i="6"/>
  <c r="AK117" i="6"/>
  <c r="AJ117" i="6"/>
  <c r="AH117" i="6"/>
  <c r="AG117" i="6"/>
  <c r="AF117" i="6"/>
  <c r="AC117" i="6"/>
  <c r="AB117" i="6"/>
  <c r="Z117" i="6"/>
  <c r="I117" i="6"/>
  <c r="BJ116" i="6"/>
  <c r="BI116" i="6"/>
  <c r="AE116" i="6" s="1"/>
  <c r="BH116" i="6"/>
  <c r="AD116" i="6" s="1"/>
  <c r="BF116" i="6"/>
  <c r="BD116" i="6"/>
  <c r="AX116" i="6"/>
  <c r="AP116" i="6"/>
  <c r="AO116" i="6"/>
  <c r="AW116" i="6" s="1"/>
  <c r="AL116" i="6"/>
  <c r="AK116" i="6"/>
  <c r="AJ116" i="6"/>
  <c r="AH116" i="6"/>
  <c r="AG116" i="6"/>
  <c r="AF116" i="6"/>
  <c r="AC116" i="6"/>
  <c r="AB116" i="6"/>
  <c r="Z116" i="6"/>
  <c r="I116" i="6"/>
  <c r="BJ114" i="6"/>
  <c r="BI114" i="6"/>
  <c r="AE114" i="6" s="1"/>
  <c r="BH114" i="6"/>
  <c r="AD114" i="6" s="1"/>
  <c r="BF114" i="6"/>
  <c r="BD114" i="6"/>
  <c r="AX114" i="6"/>
  <c r="AW114" i="6"/>
  <c r="BC114" i="6" s="1"/>
  <c r="AP114" i="6"/>
  <c r="AO114" i="6"/>
  <c r="AL114" i="6"/>
  <c r="AK114" i="6"/>
  <c r="AJ114" i="6"/>
  <c r="AH114" i="6"/>
  <c r="AG114" i="6"/>
  <c r="AF114" i="6"/>
  <c r="AC114" i="6"/>
  <c r="AB114" i="6"/>
  <c r="Z114" i="6"/>
  <c r="I114" i="6"/>
  <c r="BJ113" i="6"/>
  <c r="BI113" i="6"/>
  <c r="AE113" i="6" s="1"/>
  <c r="BH113" i="6"/>
  <c r="AD113" i="6" s="1"/>
  <c r="BF113" i="6"/>
  <c r="BD113" i="6"/>
  <c r="AW113" i="6"/>
  <c r="BC113" i="6" s="1"/>
  <c r="AP113" i="6"/>
  <c r="AX113" i="6" s="1"/>
  <c r="AO113" i="6"/>
  <c r="AK113" i="6"/>
  <c r="AJ113" i="6"/>
  <c r="AH113" i="6"/>
  <c r="AG113" i="6"/>
  <c r="AF113" i="6"/>
  <c r="AC113" i="6"/>
  <c r="AB113" i="6"/>
  <c r="Z113" i="6"/>
  <c r="I113" i="6"/>
  <c r="AL113" i="6" s="1"/>
  <c r="BJ112" i="6"/>
  <c r="BI112" i="6"/>
  <c r="BH112" i="6"/>
  <c r="AD112" i="6" s="1"/>
  <c r="BF112" i="6"/>
  <c r="BD112" i="6"/>
  <c r="AX112" i="6"/>
  <c r="AP112" i="6"/>
  <c r="AO112" i="6"/>
  <c r="AW112" i="6" s="1"/>
  <c r="AK112" i="6"/>
  <c r="AJ112" i="6"/>
  <c r="AH112" i="6"/>
  <c r="AG112" i="6"/>
  <c r="AF112" i="6"/>
  <c r="AE112" i="6"/>
  <c r="AC112" i="6"/>
  <c r="AB112" i="6"/>
  <c r="Z112" i="6"/>
  <c r="I112" i="6"/>
  <c r="AL112" i="6" s="1"/>
  <c r="BJ110" i="6"/>
  <c r="Z110" i="6" s="1"/>
  <c r="BI110" i="6"/>
  <c r="BH110" i="6"/>
  <c r="BF110" i="6"/>
  <c r="BD110" i="6"/>
  <c r="AX110" i="6"/>
  <c r="AP110" i="6"/>
  <c r="AO110" i="6"/>
  <c r="AW110" i="6" s="1"/>
  <c r="AL110" i="6"/>
  <c r="AK110" i="6"/>
  <c r="AJ110" i="6"/>
  <c r="AH110" i="6"/>
  <c r="AG110" i="6"/>
  <c r="AF110" i="6"/>
  <c r="AE110" i="6"/>
  <c r="AD110" i="6"/>
  <c r="AC110" i="6"/>
  <c r="AB110" i="6"/>
  <c r="I110" i="6"/>
  <c r="BJ108" i="6"/>
  <c r="BI108" i="6"/>
  <c r="AE108" i="6" s="1"/>
  <c r="BH108" i="6"/>
  <c r="AD108" i="6" s="1"/>
  <c r="BF108" i="6"/>
  <c r="BD108" i="6"/>
  <c r="AX108" i="6"/>
  <c r="AW108" i="6"/>
  <c r="BC108" i="6" s="1"/>
  <c r="AP108" i="6"/>
  <c r="AO108" i="6"/>
  <c r="AL108" i="6"/>
  <c r="AK108" i="6"/>
  <c r="AJ108" i="6"/>
  <c r="AH108" i="6"/>
  <c r="AG108" i="6"/>
  <c r="AF108" i="6"/>
  <c r="AC108" i="6"/>
  <c r="AB108" i="6"/>
  <c r="Z108" i="6"/>
  <c r="I108" i="6"/>
  <c r="BJ107" i="6"/>
  <c r="BI107" i="6"/>
  <c r="AE107" i="6" s="1"/>
  <c r="BH107" i="6"/>
  <c r="AD107" i="6" s="1"/>
  <c r="BF107" i="6"/>
  <c r="BD107" i="6"/>
  <c r="AW107" i="6"/>
  <c r="AP107" i="6"/>
  <c r="AX107" i="6" s="1"/>
  <c r="AO107" i="6"/>
  <c r="AK107" i="6"/>
  <c r="AJ107" i="6"/>
  <c r="AH107" i="6"/>
  <c r="AG107" i="6"/>
  <c r="AF107" i="6"/>
  <c r="AC107" i="6"/>
  <c r="AB107" i="6"/>
  <c r="Z107" i="6"/>
  <c r="I107" i="6"/>
  <c r="AL107" i="6" s="1"/>
  <c r="BJ106" i="6"/>
  <c r="BH106" i="6"/>
  <c r="AD106" i="6" s="1"/>
  <c r="BF106" i="6"/>
  <c r="BD106" i="6"/>
  <c r="AP106" i="6"/>
  <c r="AX106" i="6" s="1"/>
  <c r="AO106" i="6"/>
  <c r="AW106" i="6" s="1"/>
  <c r="AK106" i="6"/>
  <c r="AJ106" i="6"/>
  <c r="AH106" i="6"/>
  <c r="AG106" i="6"/>
  <c r="AF106" i="6"/>
  <c r="AC106" i="6"/>
  <c r="AB106" i="6"/>
  <c r="Z106" i="6"/>
  <c r="I106" i="6"/>
  <c r="AL106" i="6" s="1"/>
  <c r="BJ104" i="6"/>
  <c r="BF104" i="6"/>
  <c r="BD104" i="6"/>
  <c r="AX104" i="6"/>
  <c r="AP104" i="6"/>
  <c r="BI104" i="6" s="1"/>
  <c r="AE104" i="6" s="1"/>
  <c r="AO104" i="6"/>
  <c r="AW104" i="6" s="1"/>
  <c r="AV104" i="6" s="1"/>
  <c r="AK104" i="6"/>
  <c r="AJ104" i="6"/>
  <c r="AH104" i="6"/>
  <c r="AG104" i="6"/>
  <c r="AF104" i="6"/>
  <c r="AC104" i="6"/>
  <c r="AB104" i="6"/>
  <c r="Z104" i="6"/>
  <c r="I104" i="6"/>
  <c r="AL104" i="6" s="1"/>
  <c r="BJ102" i="6"/>
  <c r="BF102" i="6"/>
  <c r="BD102" i="6"/>
  <c r="AX102" i="6"/>
  <c r="BC102" i="6" s="1"/>
  <c r="AW102" i="6"/>
  <c r="AV102" i="6" s="1"/>
  <c r="AP102" i="6"/>
  <c r="BI102" i="6" s="1"/>
  <c r="AO102" i="6"/>
  <c r="BH102" i="6" s="1"/>
  <c r="AD102" i="6" s="1"/>
  <c r="AK102" i="6"/>
  <c r="AJ102" i="6"/>
  <c r="AH102" i="6"/>
  <c r="AG102" i="6"/>
  <c r="AF102" i="6"/>
  <c r="AE102" i="6"/>
  <c r="AC102" i="6"/>
  <c r="AB102" i="6"/>
  <c r="Z102" i="6"/>
  <c r="I102" i="6"/>
  <c r="AL102" i="6" s="1"/>
  <c r="BJ100" i="6"/>
  <c r="BF100" i="6"/>
  <c r="BD100" i="6"/>
  <c r="AX100" i="6"/>
  <c r="AW100" i="6"/>
  <c r="AV100" i="6" s="1"/>
  <c r="AP100" i="6"/>
  <c r="BI100" i="6" s="1"/>
  <c r="AE100" i="6" s="1"/>
  <c r="AO100" i="6"/>
  <c r="BH100" i="6" s="1"/>
  <c r="AL100" i="6"/>
  <c r="AK100" i="6"/>
  <c r="AJ100" i="6"/>
  <c r="AH100" i="6"/>
  <c r="AG100" i="6"/>
  <c r="AF100" i="6"/>
  <c r="AD100" i="6"/>
  <c r="AC100" i="6"/>
  <c r="AB100" i="6"/>
  <c r="Z100" i="6"/>
  <c r="I100" i="6"/>
  <c r="BJ98" i="6"/>
  <c r="BF98" i="6"/>
  <c r="BD98" i="6"/>
  <c r="AX98" i="6"/>
  <c r="AW98" i="6"/>
  <c r="AV98" i="6"/>
  <c r="AP98" i="6"/>
  <c r="BI98" i="6" s="1"/>
  <c r="AE98" i="6" s="1"/>
  <c r="AO98" i="6"/>
  <c r="BH98" i="6" s="1"/>
  <c r="AD98" i="6" s="1"/>
  <c r="AK98" i="6"/>
  <c r="AJ98" i="6"/>
  <c r="AH98" i="6"/>
  <c r="AG98" i="6"/>
  <c r="AF98" i="6"/>
  <c r="AC98" i="6"/>
  <c r="AB98" i="6"/>
  <c r="Z98" i="6"/>
  <c r="I98" i="6"/>
  <c r="AL98" i="6" s="1"/>
  <c r="BJ97" i="6"/>
  <c r="BF97" i="6"/>
  <c r="BD97" i="6"/>
  <c r="AW97" i="6"/>
  <c r="AP97" i="6"/>
  <c r="AO97" i="6"/>
  <c r="BH97" i="6" s="1"/>
  <c r="AD97" i="6" s="1"/>
  <c r="AK97" i="6"/>
  <c r="AJ97" i="6"/>
  <c r="AH97" i="6"/>
  <c r="AG97" i="6"/>
  <c r="AF97" i="6"/>
  <c r="AC97" i="6"/>
  <c r="AB97" i="6"/>
  <c r="Z97" i="6"/>
  <c r="I97" i="6"/>
  <c r="AL97" i="6" s="1"/>
  <c r="BJ96" i="6"/>
  <c r="BF96" i="6"/>
  <c r="BD96" i="6"/>
  <c r="AP96" i="6"/>
  <c r="AO96" i="6"/>
  <c r="AK96" i="6"/>
  <c r="AJ96" i="6"/>
  <c r="AH96" i="6"/>
  <c r="AG96" i="6"/>
  <c r="AF96" i="6"/>
  <c r="AC96" i="6"/>
  <c r="AB96" i="6"/>
  <c r="Z96" i="6"/>
  <c r="I96" i="6"/>
  <c r="AL96" i="6" s="1"/>
  <c r="BJ95" i="6"/>
  <c r="BF95" i="6"/>
  <c r="BD95" i="6"/>
  <c r="AP95" i="6"/>
  <c r="AO95" i="6"/>
  <c r="AK95" i="6"/>
  <c r="AJ95" i="6"/>
  <c r="AH95" i="6"/>
  <c r="AG95" i="6"/>
  <c r="AF95" i="6"/>
  <c r="AC95" i="6"/>
  <c r="AB95" i="6"/>
  <c r="Z95" i="6"/>
  <c r="I95" i="6"/>
  <c r="AL95" i="6" s="1"/>
  <c r="BJ94" i="6"/>
  <c r="BI94" i="6"/>
  <c r="AE94" i="6" s="1"/>
  <c r="BF94" i="6"/>
  <c r="BD94" i="6"/>
  <c r="AP94" i="6"/>
  <c r="AX94" i="6" s="1"/>
  <c r="AO94" i="6"/>
  <c r="AL94" i="6"/>
  <c r="AK94" i="6"/>
  <c r="AJ94" i="6"/>
  <c r="AH94" i="6"/>
  <c r="AG94" i="6"/>
  <c r="AF94" i="6"/>
  <c r="AC94" i="6"/>
  <c r="AB94" i="6"/>
  <c r="Z94" i="6"/>
  <c r="I94" i="6"/>
  <c r="BJ93" i="6"/>
  <c r="BI93" i="6"/>
  <c r="AE93" i="6" s="1"/>
  <c r="BH93" i="6"/>
  <c r="AD93" i="6" s="1"/>
  <c r="BF93" i="6"/>
  <c r="BD93" i="6"/>
  <c r="AX93" i="6"/>
  <c r="AP93" i="6"/>
  <c r="AO93" i="6"/>
  <c r="AW93" i="6" s="1"/>
  <c r="AL93" i="6"/>
  <c r="AK93" i="6"/>
  <c r="AJ93" i="6"/>
  <c r="AH93" i="6"/>
  <c r="AG93" i="6"/>
  <c r="AF93" i="6"/>
  <c r="AC93" i="6"/>
  <c r="AB93" i="6"/>
  <c r="Z93" i="6"/>
  <c r="I93" i="6"/>
  <c r="BJ92" i="6"/>
  <c r="BI92" i="6"/>
  <c r="AE92" i="6" s="1"/>
  <c r="BH92" i="6"/>
  <c r="AD92" i="6" s="1"/>
  <c r="BF92" i="6"/>
  <c r="BD92" i="6"/>
  <c r="AX92" i="6"/>
  <c r="AV92" i="6" s="1"/>
  <c r="AW92" i="6"/>
  <c r="BC92" i="6" s="1"/>
  <c r="AP92" i="6"/>
  <c r="AO92" i="6"/>
  <c r="AL92" i="6"/>
  <c r="AK92" i="6"/>
  <c r="AJ92" i="6"/>
  <c r="AH92" i="6"/>
  <c r="AG92" i="6"/>
  <c r="AF92" i="6"/>
  <c r="AC92" i="6"/>
  <c r="AB92" i="6"/>
  <c r="Z92" i="6"/>
  <c r="I92" i="6"/>
  <c r="BJ91" i="6"/>
  <c r="BI91" i="6"/>
  <c r="AE91" i="6" s="1"/>
  <c r="BH91" i="6"/>
  <c r="AD91" i="6" s="1"/>
  <c r="BF91" i="6"/>
  <c r="BD91" i="6"/>
  <c r="AW91" i="6"/>
  <c r="AP91" i="6"/>
  <c r="AX91" i="6" s="1"/>
  <c r="AO91" i="6"/>
  <c r="AK91" i="6"/>
  <c r="AT89" i="6" s="1"/>
  <c r="AJ91" i="6"/>
  <c r="AS89" i="6" s="1"/>
  <c r="AH91" i="6"/>
  <c r="AG91" i="6"/>
  <c r="AF91" i="6"/>
  <c r="AC91" i="6"/>
  <c r="AB91" i="6"/>
  <c r="Z91" i="6"/>
  <c r="I91" i="6"/>
  <c r="AL91" i="6" s="1"/>
  <c r="BJ90" i="6"/>
  <c r="BH90" i="6"/>
  <c r="AD90" i="6" s="1"/>
  <c r="BF90" i="6"/>
  <c r="BD90" i="6"/>
  <c r="AP90" i="6"/>
  <c r="AX90" i="6" s="1"/>
  <c r="AO90" i="6"/>
  <c r="AW90" i="6" s="1"/>
  <c r="AK90" i="6"/>
  <c r="AJ90" i="6"/>
  <c r="AH90" i="6"/>
  <c r="AG90" i="6"/>
  <c r="AF90" i="6"/>
  <c r="AC90" i="6"/>
  <c r="AB90" i="6"/>
  <c r="Z90" i="6"/>
  <c r="I90" i="6"/>
  <c r="AL90" i="6" s="1"/>
  <c r="I89" i="6"/>
  <c r="BJ88" i="6"/>
  <c r="Z88" i="6" s="1"/>
  <c r="BI88" i="6"/>
  <c r="BH88" i="6"/>
  <c r="BF88" i="6"/>
  <c r="BD88" i="6"/>
  <c r="AX88" i="6"/>
  <c r="AW88" i="6"/>
  <c r="BC88" i="6" s="1"/>
  <c r="AP88" i="6"/>
  <c r="AO88" i="6"/>
  <c r="AL88" i="6"/>
  <c r="AK88" i="6"/>
  <c r="AJ88" i="6"/>
  <c r="AH88" i="6"/>
  <c r="AG88" i="6"/>
  <c r="AF88" i="6"/>
  <c r="AE88" i="6"/>
  <c r="AD88" i="6"/>
  <c r="AC88" i="6"/>
  <c r="AB88" i="6"/>
  <c r="I88" i="6"/>
  <c r="BJ87" i="6"/>
  <c r="BI87" i="6"/>
  <c r="AE87" i="6" s="1"/>
  <c r="BH87" i="6"/>
  <c r="AD87" i="6" s="1"/>
  <c r="BF87" i="6"/>
  <c r="BD87" i="6"/>
  <c r="AX87" i="6"/>
  <c r="AW87" i="6"/>
  <c r="BC87" i="6" s="1"/>
  <c r="AV87" i="6"/>
  <c r="AP87" i="6"/>
  <c r="AO87" i="6"/>
  <c r="AL87" i="6"/>
  <c r="AK87" i="6"/>
  <c r="AJ87" i="6"/>
  <c r="AH87" i="6"/>
  <c r="AG87" i="6"/>
  <c r="AF87" i="6"/>
  <c r="AC87" i="6"/>
  <c r="AB87" i="6"/>
  <c r="Z87" i="6"/>
  <c r="I87" i="6"/>
  <c r="BJ86" i="6"/>
  <c r="BI86" i="6"/>
  <c r="AE86" i="6" s="1"/>
  <c r="BH86" i="6"/>
  <c r="AD86" i="6" s="1"/>
  <c r="BF86" i="6"/>
  <c r="BD86" i="6"/>
  <c r="AW86" i="6"/>
  <c r="BC86" i="6" s="1"/>
  <c r="AP86" i="6"/>
  <c r="AX86" i="6" s="1"/>
  <c r="AO86" i="6"/>
  <c r="AK86" i="6"/>
  <c r="AJ86" i="6"/>
  <c r="AH86" i="6"/>
  <c r="AG86" i="6"/>
  <c r="AF86" i="6"/>
  <c r="AC86" i="6"/>
  <c r="AB86" i="6"/>
  <c r="Z86" i="6"/>
  <c r="I86" i="6"/>
  <c r="AL86" i="6" s="1"/>
  <c r="BJ85" i="6"/>
  <c r="BH85" i="6"/>
  <c r="AD85" i="6" s="1"/>
  <c r="BF85" i="6"/>
  <c r="BD85" i="6"/>
  <c r="AP85" i="6"/>
  <c r="AX85" i="6" s="1"/>
  <c r="AO85" i="6"/>
  <c r="AW85" i="6" s="1"/>
  <c r="AK85" i="6"/>
  <c r="AJ85" i="6"/>
  <c r="AS83" i="6" s="1"/>
  <c r="AH85" i="6"/>
  <c r="AG85" i="6"/>
  <c r="AF85" i="6"/>
  <c r="AC85" i="6"/>
  <c r="AB85" i="6"/>
  <c r="Z85" i="6"/>
  <c r="I85" i="6"/>
  <c r="AL85" i="6" s="1"/>
  <c r="BJ84" i="6"/>
  <c r="BF84" i="6"/>
  <c r="BD84" i="6"/>
  <c r="BC84" i="6"/>
  <c r="AX84" i="6"/>
  <c r="AP84" i="6"/>
  <c r="BI84" i="6" s="1"/>
  <c r="AO84" i="6"/>
  <c r="AW84" i="6" s="1"/>
  <c r="AV84" i="6" s="1"/>
  <c r="AK84" i="6"/>
  <c r="AJ84" i="6"/>
  <c r="AH84" i="6"/>
  <c r="AG84" i="6"/>
  <c r="AF84" i="6"/>
  <c r="AE84" i="6"/>
  <c r="AC84" i="6"/>
  <c r="AB84" i="6"/>
  <c r="Z84" i="6"/>
  <c r="I84" i="6"/>
  <c r="AL84" i="6" s="1"/>
  <c r="AU83" i="6" s="1"/>
  <c r="BJ82" i="6"/>
  <c r="Z82" i="6" s="1"/>
  <c r="BI82" i="6"/>
  <c r="BH82" i="6"/>
  <c r="BF82" i="6"/>
  <c r="BD82" i="6"/>
  <c r="AX82" i="6"/>
  <c r="AW82" i="6"/>
  <c r="BC82" i="6" s="1"/>
  <c r="AP82" i="6"/>
  <c r="AO82" i="6"/>
  <c r="AL82" i="6"/>
  <c r="AK82" i="6"/>
  <c r="AJ82" i="6"/>
  <c r="AH82" i="6"/>
  <c r="AG82" i="6"/>
  <c r="AF82" i="6"/>
  <c r="AE82" i="6"/>
  <c r="AD82" i="6"/>
  <c r="AC82" i="6"/>
  <c r="AB82" i="6"/>
  <c r="I82" i="6"/>
  <c r="BJ81" i="6"/>
  <c r="BI81" i="6"/>
  <c r="AE81" i="6" s="1"/>
  <c r="BH81" i="6"/>
  <c r="AD81" i="6" s="1"/>
  <c r="BF81" i="6"/>
  <c r="BD81" i="6"/>
  <c r="AW81" i="6"/>
  <c r="AP81" i="6"/>
  <c r="AX81" i="6" s="1"/>
  <c r="AO81" i="6"/>
  <c r="AK81" i="6"/>
  <c r="AJ81" i="6"/>
  <c r="AH81" i="6"/>
  <c r="AG81" i="6"/>
  <c r="AF81" i="6"/>
  <c r="AC81" i="6"/>
  <c r="AB81" i="6"/>
  <c r="Z81" i="6"/>
  <c r="I81" i="6"/>
  <c r="AL81" i="6" s="1"/>
  <c r="BJ79" i="6"/>
  <c r="BH79" i="6"/>
  <c r="AD79" i="6" s="1"/>
  <c r="BF79" i="6"/>
  <c r="BD79" i="6"/>
  <c r="AP79" i="6"/>
  <c r="AX79" i="6" s="1"/>
  <c r="AO79" i="6"/>
  <c r="AW79" i="6" s="1"/>
  <c r="AK79" i="6"/>
  <c r="AJ79" i="6"/>
  <c r="AH79" i="6"/>
  <c r="AG79" i="6"/>
  <c r="AF79" i="6"/>
  <c r="AC79" i="6"/>
  <c r="AB79" i="6"/>
  <c r="Z79" i="6"/>
  <c r="I79" i="6"/>
  <c r="AL79" i="6" s="1"/>
  <c r="BJ78" i="6"/>
  <c r="BF78" i="6"/>
  <c r="BD78" i="6"/>
  <c r="AX78" i="6"/>
  <c r="AP78" i="6"/>
  <c r="BI78" i="6" s="1"/>
  <c r="AE78" i="6" s="1"/>
  <c r="AO78" i="6"/>
  <c r="AW78" i="6" s="1"/>
  <c r="AV78" i="6" s="1"/>
  <c r="AK78" i="6"/>
  <c r="AJ78" i="6"/>
  <c r="AH78" i="6"/>
  <c r="AG78" i="6"/>
  <c r="AF78" i="6"/>
  <c r="AC78" i="6"/>
  <c r="AB78" i="6"/>
  <c r="Z78" i="6"/>
  <c r="I78" i="6"/>
  <c r="AL78" i="6" s="1"/>
  <c r="AU77" i="6" s="1"/>
  <c r="BJ75" i="6"/>
  <c r="BI75" i="6"/>
  <c r="AC75" i="6" s="1"/>
  <c r="BH75" i="6"/>
  <c r="AB75" i="6" s="1"/>
  <c r="BF75" i="6"/>
  <c r="BD75" i="6"/>
  <c r="AX75" i="6"/>
  <c r="AW75" i="6"/>
  <c r="BC75" i="6" s="1"/>
  <c r="AP75" i="6"/>
  <c r="AO75" i="6"/>
  <c r="AL75" i="6"/>
  <c r="AK75" i="6"/>
  <c r="AJ75" i="6"/>
  <c r="AH75" i="6"/>
  <c r="AG75" i="6"/>
  <c r="AF75" i="6"/>
  <c r="AE75" i="6"/>
  <c r="AD75" i="6"/>
  <c r="Z75" i="6"/>
  <c r="I75" i="6"/>
  <c r="BJ73" i="6"/>
  <c r="BI73" i="6"/>
  <c r="AC73" i="6" s="1"/>
  <c r="BH73" i="6"/>
  <c r="AB73" i="6" s="1"/>
  <c r="BF73" i="6"/>
  <c r="BD73" i="6"/>
  <c r="AW73" i="6"/>
  <c r="AP73" i="6"/>
  <c r="AX73" i="6" s="1"/>
  <c r="AO73" i="6"/>
  <c r="AK73" i="6"/>
  <c r="AT70" i="6" s="1"/>
  <c r="AJ73" i="6"/>
  <c r="AH73" i="6"/>
  <c r="AG73" i="6"/>
  <c r="AF73" i="6"/>
  <c r="AE73" i="6"/>
  <c r="AD73" i="6"/>
  <c r="Z73" i="6"/>
  <c r="I73" i="6"/>
  <c r="AL73" i="6" s="1"/>
  <c r="BJ71" i="6"/>
  <c r="BH71" i="6"/>
  <c r="AB71" i="6" s="1"/>
  <c r="BF71" i="6"/>
  <c r="BD71" i="6"/>
  <c r="AP71" i="6"/>
  <c r="AX71" i="6" s="1"/>
  <c r="AO71" i="6"/>
  <c r="AW71" i="6" s="1"/>
  <c r="AK71" i="6"/>
  <c r="AJ71" i="6"/>
  <c r="AH71" i="6"/>
  <c r="AG71" i="6"/>
  <c r="AF71" i="6"/>
  <c r="AE71" i="6"/>
  <c r="AD71" i="6"/>
  <c r="Z71" i="6"/>
  <c r="I71" i="6"/>
  <c r="AL71" i="6" s="1"/>
  <c r="AU70" i="6" s="1"/>
  <c r="I70" i="6"/>
  <c r="BJ68" i="6"/>
  <c r="BI68" i="6"/>
  <c r="AC68" i="6" s="1"/>
  <c r="BH68" i="6"/>
  <c r="AB68" i="6" s="1"/>
  <c r="BF68" i="6"/>
  <c r="BD68" i="6"/>
  <c r="BC68" i="6"/>
  <c r="AX68" i="6"/>
  <c r="AW68" i="6"/>
  <c r="AV68" i="6" s="1"/>
  <c r="AP68" i="6"/>
  <c r="AO68" i="6"/>
  <c r="AL68" i="6"/>
  <c r="AK68" i="6"/>
  <c r="AJ68" i="6"/>
  <c r="AH68" i="6"/>
  <c r="AG68" i="6"/>
  <c r="AF68" i="6"/>
  <c r="AE68" i="6"/>
  <c r="AD68" i="6"/>
  <c r="Z68" i="6"/>
  <c r="I68" i="6"/>
  <c r="BJ67" i="6"/>
  <c r="BI67" i="6"/>
  <c r="AC67" i="6" s="1"/>
  <c r="BH67" i="6"/>
  <c r="AB67" i="6" s="1"/>
  <c r="BF67" i="6"/>
  <c r="BD67" i="6"/>
  <c r="AX67" i="6"/>
  <c r="AW67" i="6"/>
  <c r="BC67" i="6" s="1"/>
  <c r="AP67" i="6"/>
  <c r="AO67" i="6"/>
  <c r="AL67" i="6"/>
  <c r="AK67" i="6"/>
  <c r="AJ67" i="6"/>
  <c r="AH67" i="6"/>
  <c r="AG67" i="6"/>
  <c r="AF67" i="6"/>
  <c r="AE67" i="6"/>
  <c r="AD67" i="6"/>
  <c r="Z67" i="6"/>
  <c r="I67" i="6"/>
  <c r="BJ66" i="6"/>
  <c r="BI66" i="6"/>
  <c r="AC66" i="6" s="1"/>
  <c r="BH66" i="6"/>
  <c r="AB66" i="6" s="1"/>
  <c r="BF66" i="6"/>
  <c r="BD66" i="6"/>
  <c r="AW66" i="6"/>
  <c r="AP66" i="6"/>
  <c r="AX66" i="6" s="1"/>
  <c r="AO66" i="6"/>
  <c r="AK66" i="6"/>
  <c r="AJ66" i="6"/>
  <c r="AH66" i="6"/>
  <c r="AG66" i="6"/>
  <c r="AF66" i="6"/>
  <c r="AE66" i="6"/>
  <c r="AD66" i="6"/>
  <c r="Z66" i="6"/>
  <c r="I66" i="6"/>
  <c r="AL66" i="6" s="1"/>
  <c r="BJ65" i="6"/>
  <c r="BH65" i="6"/>
  <c r="AB65" i="6" s="1"/>
  <c r="BF65" i="6"/>
  <c r="BD65" i="6"/>
  <c r="AP65" i="6"/>
  <c r="AX65" i="6" s="1"/>
  <c r="AO65" i="6"/>
  <c r="AW65" i="6" s="1"/>
  <c r="AK65" i="6"/>
  <c r="AJ65" i="6"/>
  <c r="AH65" i="6"/>
  <c r="AG65" i="6"/>
  <c r="AF65" i="6"/>
  <c r="AE65" i="6"/>
  <c r="AD65" i="6"/>
  <c r="Z65" i="6"/>
  <c r="I65" i="6"/>
  <c r="AL65" i="6" s="1"/>
  <c r="BJ64" i="6"/>
  <c r="BF64" i="6"/>
  <c r="BD64" i="6"/>
  <c r="AX64" i="6"/>
  <c r="AP64" i="6"/>
  <c r="BI64" i="6" s="1"/>
  <c r="AC64" i="6" s="1"/>
  <c r="AO64" i="6"/>
  <c r="AW64" i="6" s="1"/>
  <c r="AV64" i="6" s="1"/>
  <c r="AK64" i="6"/>
  <c r="AJ64" i="6"/>
  <c r="AH64" i="6"/>
  <c r="AG64" i="6"/>
  <c r="AF64" i="6"/>
  <c r="AE64" i="6"/>
  <c r="AD64" i="6"/>
  <c r="Z64" i="6"/>
  <c r="I64" i="6"/>
  <c r="AL64" i="6" s="1"/>
  <c r="BJ62" i="6"/>
  <c r="BF62" i="6"/>
  <c r="BD62" i="6"/>
  <c r="AX62" i="6"/>
  <c r="BC62" i="6" s="1"/>
  <c r="AW62" i="6"/>
  <c r="AV62" i="6" s="1"/>
  <c r="AP62" i="6"/>
  <c r="BI62" i="6" s="1"/>
  <c r="AC62" i="6" s="1"/>
  <c r="AO62" i="6"/>
  <c r="BH62" i="6" s="1"/>
  <c r="AB62" i="6" s="1"/>
  <c r="AK62" i="6"/>
  <c r="AJ62" i="6"/>
  <c r="AH62" i="6"/>
  <c r="AG62" i="6"/>
  <c r="AF62" i="6"/>
  <c r="AE62" i="6"/>
  <c r="AD62" i="6"/>
  <c r="Z62" i="6"/>
  <c r="I62" i="6"/>
  <c r="AL62" i="6" s="1"/>
  <c r="BJ61" i="6"/>
  <c r="BI61" i="6"/>
  <c r="BF61" i="6"/>
  <c r="BD61" i="6"/>
  <c r="AX61" i="6"/>
  <c r="AW61" i="6"/>
  <c r="AV61" i="6" s="1"/>
  <c r="AP61" i="6"/>
  <c r="AO61" i="6"/>
  <c r="BH61" i="6" s="1"/>
  <c r="AB61" i="6" s="1"/>
  <c r="AL61" i="6"/>
  <c r="AK61" i="6"/>
  <c r="AJ61" i="6"/>
  <c r="AH61" i="6"/>
  <c r="AG61" i="6"/>
  <c r="AF61" i="6"/>
  <c r="AE61" i="6"/>
  <c r="AD61" i="6"/>
  <c r="AC61" i="6"/>
  <c r="Z61" i="6"/>
  <c r="I61" i="6"/>
  <c r="I60" i="6" s="1"/>
  <c r="BJ58" i="6"/>
  <c r="BH58" i="6"/>
  <c r="AB58" i="6" s="1"/>
  <c r="BF58" i="6"/>
  <c r="BD58" i="6"/>
  <c r="AP58" i="6"/>
  <c r="AX58" i="6" s="1"/>
  <c r="AO58" i="6"/>
  <c r="AW58" i="6" s="1"/>
  <c r="AK58" i="6"/>
  <c r="AJ58" i="6"/>
  <c r="AH58" i="6"/>
  <c r="AG58" i="6"/>
  <c r="AF58" i="6"/>
  <c r="AE58" i="6"/>
  <c r="AD58" i="6"/>
  <c r="Z58" i="6"/>
  <c r="I58" i="6"/>
  <c r="AL58" i="6" s="1"/>
  <c r="AU57" i="6" s="1"/>
  <c r="AT57" i="6"/>
  <c r="AS57" i="6"/>
  <c r="I57" i="6"/>
  <c r="BJ56" i="6"/>
  <c r="BI56" i="6"/>
  <c r="AC56" i="6" s="1"/>
  <c r="BH56" i="6"/>
  <c r="AB56" i="6" s="1"/>
  <c r="BF56" i="6"/>
  <c r="BD56" i="6"/>
  <c r="AX56" i="6"/>
  <c r="AW56" i="6"/>
  <c r="BC56" i="6" s="1"/>
  <c r="AP56" i="6"/>
  <c r="AO56" i="6"/>
  <c r="AL56" i="6"/>
  <c r="AK56" i="6"/>
  <c r="AJ56" i="6"/>
  <c r="AH56" i="6"/>
  <c r="AG56" i="6"/>
  <c r="AF56" i="6"/>
  <c r="AE56" i="6"/>
  <c r="AD56" i="6"/>
  <c r="Z56" i="6"/>
  <c r="I56" i="6"/>
  <c r="BJ54" i="6"/>
  <c r="BI54" i="6"/>
  <c r="AC54" i="6" s="1"/>
  <c r="BH54" i="6"/>
  <c r="AB54" i="6" s="1"/>
  <c r="BF54" i="6"/>
  <c r="BD54" i="6"/>
  <c r="AX54" i="6"/>
  <c r="AW54" i="6"/>
  <c r="BC54" i="6" s="1"/>
  <c r="AP54" i="6"/>
  <c r="AO54" i="6"/>
  <c r="AL54" i="6"/>
  <c r="AK54" i="6"/>
  <c r="AJ54" i="6"/>
  <c r="AH54" i="6"/>
  <c r="AG54" i="6"/>
  <c r="AF54" i="6"/>
  <c r="AE54" i="6"/>
  <c r="AD54" i="6"/>
  <c r="Z54" i="6"/>
  <c r="I54" i="6"/>
  <c r="BJ52" i="6"/>
  <c r="BI52" i="6"/>
  <c r="AC52" i="6" s="1"/>
  <c r="BH52" i="6"/>
  <c r="AB52" i="6" s="1"/>
  <c r="BF52" i="6"/>
  <c r="BD52" i="6"/>
  <c r="AW52" i="6"/>
  <c r="BC52" i="6" s="1"/>
  <c r="AP52" i="6"/>
  <c r="AX52" i="6" s="1"/>
  <c r="AO52" i="6"/>
  <c r="AL52" i="6"/>
  <c r="AK52" i="6"/>
  <c r="AT50" i="6" s="1"/>
  <c r="AJ52" i="6"/>
  <c r="AS50" i="6" s="1"/>
  <c r="AH52" i="6"/>
  <c r="AG52" i="6"/>
  <c r="AF52" i="6"/>
  <c r="AE52" i="6"/>
  <c r="AD52" i="6"/>
  <c r="Z52" i="6"/>
  <c r="I52" i="6"/>
  <c r="BJ51" i="6"/>
  <c r="BH51" i="6"/>
  <c r="AB51" i="6" s="1"/>
  <c r="BF51" i="6"/>
  <c r="BD51" i="6"/>
  <c r="AP51" i="6"/>
  <c r="AX51" i="6" s="1"/>
  <c r="AO51" i="6"/>
  <c r="AW51" i="6" s="1"/>
  <c r="AK51" i="6"/>
  <c r="AJ51" i="6"/>
  <c r="AH51" i="6"/>
  <c r="AG51" i="6"/>
  <c r="AF51" i="6"/>
  <c r="AE51" i="6"/>
  <c r="AD51" i="6"/>
  <c r="Z51" i="6"/>
  <c r="I51" i="6"/>
  <c r="AL51" i="6" s="1"/>
  <c r="AU50" i="6" s="1"/>
  <c r="I50" i="6"/>
  <c r="BJ49" i="6"/>
  <c r="BI49" i="6"/>
  <c r="AC49" i="6" s="1"/>
  <c r="BH49" i="6"/>
  <c r="AB49" i="6" s="1"/>
  <c r="BF49" i="6"/>
  <c r="BD49" i="6"/>
  <c r="AX49" i="6"/>
  <c r="AW49" i="6"/>
  <c r="BC49" i="6" s="1"/>
  <c r="AP49" i="6"/>
  <c r="AO49" i="6"/>
  <c r="AL49" i="6"/>
  <c r="AU47" i="6" s="1"/>
  <c r="AK49" i="6"/>
  <c r="AJ49" i="6"/>
  <c r="AH49" i="6"/>
  <c r="AG49" i="6"/>
  <c r="AF49" i="6"/>
  <c r="AE49" i="6"/>
  <c r="AD49" i="6"/>
  <c r="Z49" i="6"/>
  <c r="I49" i="6"/>
  <c r="BJ48" i="6"/>
  <c r="BI48" i="6"/>
  <c r="AC48" i="6" s="1"/>
  <c r="BH48" i="6"/>
  <c r="AB48" i="6" s="1"/>
  <c r="BF48" i="6"/>
  <c r="BD48" i="6"/>
  <c r="AX48" i="6"/>
  <c r="AW48" i="6"/>
  <c r="BC48" i="6" s="1"/>
  <c r="AP48" i="6"/>
  <c r="AO48" i="6"/>
  <c r="AL48" i="6"/>
  <c r="AK48" i="6"/>
  <c r="AT47" i="6" s="1"/>
  <c r="AJ48" i="6"/>
  <c r="AS47" i="6" s="1"/>
  <c r="AH48" i="6"/>
  <c r="AG48" i="6"/>
  <c r="AF48" i="6"/>
  <c r="AE48" i="6"/>
  <c r="AD48" i="6"/>
  <c r="Z48" i="6"/>
  <c r="I48" i="6"/>
  <c r="I47" i="6"/>
  <c r="BJ46" i="6"/>
  <c r="BF46" i="6"/>
  <c r="BD46" i="6"/>
  <c r="AP46" i="6"/>
  <c r="AO46" i="6"/>
  <c r="AL46" i="6"/>
  <c r="AK46" i="6"/>
  <c r="AJ46" i="6"/>
  <c r="AH46" i="6"/>
  <c r="AG46" i="6"/>
  <c r="AF46" i="6"/>
  <c r="AE46" i="6"/>
  <c r="AD46" i="6"/>
  <c r="Z46" i="6"/>
  <c r="I46" i="6"/>
  <c r="BJ44" i="6"/>
  <c r="BI44" i="6"/>
  <c r="AC44" i="6" s="1"/>
  <c r="BF44" i="6"/>
  <c r="BD44" i="6"/>
  <c r="AX44" i="6"/>
  <c r="AP44" i="6"/>
  <c r="AO44" i="6"/>
  <c r="AK44" i="6"/>
  <c r="AJ44" i="6"/>
  <c r="AH44" i="6"/>
  <c r="AG44" i="6"/>
  <c r="AF44" i="6"/>
  <c r="AE44" i="6"/>
  <c r="AD44" i="6"/>
  <c r="Z44" i="6"/>
  <c r="I44" i="6"/>
  <c r="AL44" i="6" s="1"/>
  <c r="BJ42" i="6"/>
  <c r="BI42" i="6"/>
  <c r="BH42" i="6"/>
  <c r="AB42" i="6" s="1"/>
  <c r="BF42" i="6"/>
  <c r="BD42" i="6"/>
  <c r="AX42" i="6"/>
  <c r="AW42" i="6"/>
  <c r="AV42" i="6" s="1"/>
  <c r="AP42" i="6"/>
  <c r="AO42" i="6"/>
  <c r="AL42" i="6"/>
  <c r="AK42" i="6"/>
  <c r="AJ42" i="6"/>
  <c r="AH42" i="6"/>
  <c r="AG42" i="6"/>
  <c r="AF42" i="6"/>
  <c r="AE42" i="6"/>
  <c r="AD42" i="6"/>
  <c r="AC42" i="6"/>
  <c r="Z42" i="6"/>
  <c r="I42" i="6"/>
  <c r="BJ41" i="6"/>
  <c r="BI41" i="6"/>
  <c r="AC41" i="6" s="1"/>
  <c r="BH41" i="6"/>
  <c r="BF41" i="6"/>
  <c r="BD41" i="6"/>
  <c r="AX41" i="6"/>
  <c r="AW41" i="6"/>
  <c r="BC41" i="6" s="1"/>
  <c r="AV41" i="6"/>
  <c r="AP41" i="6"/>
  <c r="AO41" i="6"/>
  <c r="AL41" i="6"/>
  <c r="AK41" i="6"/>
  <c r="AJ41" i="6"/>
  <c r="AS33" i="6" s="1"/>
  <c r="AH41" i="6"/>
  <c r="AG41" i="6"/>
  <c r="AF41" i="6"/>
  <c r="AE41" i="6"/>
  <c r="AD41" i="6"/>
  <c r="AB41" i="6"/>
  <c r="Z41" i="6"/>
  <c r="I41" i="6"/>
  <c r="BJ39" i="6"/>
  <c r="BI39" i="6"/>
  <c r="AC39" i="6" s="1"/>
  <c r="BH39" i="6"/>
  <c r="AB39" i="6" s="1"/>
  <c r="BF39" i="6"/>
  <c r="BD39" i="6"/>
  <c r="AW39" i="6"/>
  <c r="BC39" i="6" s="1"/>
  <c r="AP39" i="6"/>
  <c r="AX39" i="6" s="1"/>
  <c r="AV39" i="6" s="1"/>
  <c r="AO39" i="6"/>
  <c r="AK39" i="6"/>
  <c r="AJ39" i="6"/>
  <c r="AH39" i="6"/>
  <c r="AG39" i="6"/>
  <c r="AF39" i="6"/>
  <c r="AE39" i="6"/>
  <c r="AD39" i="6"/>
  <c r="Z39" i="6"/>
  <c r="I39" i="6"/>
  <c r="AL39" i="6" s="1"/>
  <c r="BJ37" i="6"/>
  <c r="BH37" i="6"/>
  <c r="BF37" i="6"/>
  <c r="BD37" i="6"/>
  <c r="AX37" i="6"/>
  <c r="BC37" i="6" s="1"/>
  <c r="AV37" i="6"/>
  <c r="AP37" i="6"/>
  <c r="BI37" i="6" s="1"/>
  <c r="AC37" i="6" s="1"/>
  <c r="AO37" i="6"/>
  <c r="AW37" i="6" s="1"/>
  <c r="AK37" i="6"/>
  <c r="AJ37" i="6"/>
  <c r="AH37" i="6"/>
  <c r="AG37" i="6"/>
  <c r="AF37" i="6"/>
  <c r="AE37" i="6"/>
  <c r="AD37" i="6"/>
  <c r="AB37" i="6"/>
  <c r="Z37" i="6"/>
  <c r="I37" i="6"/>
  <c r="AL37" i="6" s="1"/>
  <c r="BJ36" i="6"/>
  <c r="BF36" i="6"/>
  <c r="BD36" i="6"/>
  <c r="AW36" i="6"/>
  <c r="AP36" i="6"/>
  <c r="BI36" i="6" s="1"/>
  <c r="AC36" i="6" s="1"/>
  <c r="AO36" i="6"/>
  <c r="BH36" i="6" s="1"/>
  <c r="AB36" i="6" s="1"/>
  <c r="AL36" i="6"/>
  <c r="AK36" i="6"/>
  <c r="AJ36" i="6"/>
  <c r="AH36" i="6"/>
  <c r="AG36" i="6"/>
  <c r="AF36" i="6"/>
  <c r="AE36" i="6"/>
  <c r="AD36" i="6"/>
  <c r="Z36" i="6"/>
  <c r="I36" i="6"/>
  <c r="BJ35" i="6"/>
  <c r="BF35" i="6"/>
  <c r="BD35" i="6"/>
  <c r="AX35" i="6"/>
  <c r="BC35" i="6" s="1"/>
  <c r="AW35" i="6"/>
  <c r="AV35" i="6" s="1"/>
  <c r="AP35" i="6"/>
  <c r="BI35" i="6" s="1"/>
  <c r="AO35" i="6"/>
  <c r="BH35" i="6" s="1"/>
  <c r="AB35" i="6" s="1"/>
  <c r="AL35" i="6"/>
  <c r="AK35" i="6"/>
  <c r="AT33" i="6" s="1"/>
  <c r="AJ35" i="6"/>
  <c r="AH35" i="6"/>
  <c r="AG35" i="6"/>
  <c r="AF35" i="6"/>
  <c r="AE35" i="6"/>
  <c r="AD35" i="6"/>
  <c r="AC35" i="6"/>
  <c r="Z35" i="6"/>
  <c r="I35" i="6"/>
  <c r="BJ34" i="6"/>
  <c r="BI34" i="6"/>
  <c r="BF34" i="6"/>
  <c r="BD34" i="6"/>
  <c r="AX34" i="6"/>
  <c r="AW34" i="6"/>
  <c r="BC34" i="6" s="1"/>
  <c r="AV34" i="6"/>
  <c r="AP34" i="6"/>
  <c r="AO34" i="6"/>
  <c r="BH34" i="6" s="1"/>
  <c r="AL34" i="6"/>
  <c r="AK34" i="6"/>
  <c r="AJ34" i="6"/>
  <c r="AH34" i="6"/>
  <c r="AG34" i="6"/>
  <c r="AF34" i="6"/>
  <c r="AE34" i="6"/>
  <c r="AD34" i="6"/>
  <c r="AC34" i="6"/>
  <c r="AB34" i="6"/>
  <c r="Z34" i="6"/>
  <c r="I34" i="6"/>
  <c r="BJ31" i="6"/>
  <c r="BH31" i="6"/>
  <c r="BF31" i="6"/>
  <c r="BD31" i="6"/>
  <c r="AX31" i="6"/>
  <c r="BC31" i="6" s="1"/>
  <c r="AV31" i="6"/>
  <c r="AP31" i="6"/>
  <c r="BI31" i="6" s="1"/>
  <c r="AC31" i="6" s="1"/>
  <c r="AO31" i="6"/>
  <c r="AW31" i="6" s="1"/>
  <c r="AK31" i="6"/>
  <c r="AJ31" i="6"/>
  <c r="AH31" i="6"/>
  <c r="AG31" i="6"/>
  <c r="AF31" i="6"/>
  <c r="AE31" i="6"/>
  <c r="AD31" i="6"/>
  <c r="AB31" i="6"/>
  <c r="Z31" i="6"/>
  <c r="I31" i="6"/>
  <c r="AL31" i="6" s="1"/>
  <c r="BJ30" i="6"/>
  <c r="BF30" i="6"/>
  <c r="BD30" i="6"/>
  <c r="AW30" i="6"/>
  <c r="AP30" i="6"/>
  <c r="BI30" i="6" s="1"/>
  <c r="AC30" i="6" s="1"/>
  <c r="AO30" i="6"/>
  <c r="BH30" i="6" s="1"/>
  <c r="AB30" i="6" s="1"/>
  <c r="AL30" i="6"/>
  <c r="AU28" i="6" s="1"/>
  <c r="AK30" i="6"/>
  <c r="AJ30" i="6"/>
  <c r="AH30" i="6"/>
  <c r="AG30" i="6"/>
  <c r="AF30" i="6"/>
  <c r="AE30" i="6"/>
  <c r="AD30" i="6"/>
  <c r="Z30" i="6"/>
  <c r="I30" i="6"/>
  <c r="BJ29" i="6"/>
  <c r="BF29" i="6"/>
  <c r="BD29" i="6"/>
  <c r="AX29" i="6"/>
  <c r="BC29" i="6" s="1"/>
  <c r="AW29" i="6"/>
  <c r="AV29" i="6" s="1"/>
  <c r="AP29" i="6"/>
  <c r="BI29" i="6" s="1"/>
  <c r="AO29" i="6"/>
  <c r="BH29" i="6" s="1"/>
  <c r="AB29" i="6" s="1"/>
  <c r="AL29" i="6"/>
  <c r="AK29" i="6"/>
  <c r="AJ29" i="6"/>
  <c r="AH29" i="6"/>
  <c r="AG29" i="6"/>
  <c r="AF29" i="6"/>
  <c r="AE29" i="6"/>
  <c r="AD29" i="6"/>
  <c r="AC29" i="6"/>
  <c r="Z29" i="6"/>
  <c r="I29" i="6"/>
  <c r="AT28" i="6"/>
  <c r="AS28" i="6"/>
  <c r="BJ26" i="6"/>
  <c r="BI26" i="6"/>
  <c r="AC26" i="6" s="1"/>
  <c r="BH26" i="6"/>
  <c r="AB26" i="6" s="1"/>
  <c r="BF26" i="6"/>
  <c r="BD26" i="6"/>
  <c r="AX26" i="6"/>
  <c r="AW26" i="6"/>
  <c r="BC26" i="6" s="1"/>
  <c r="AV26" i="6"/>
  <c r="AP26" i="6"/>
  <c r="AO26" i="6"/>
  <c r="AK26" i="6"/>
  <c r="AJ26" i="6"/>
  <c r="AH26" i="6"/>
  <c r="AG26" i="6"/>
  <c r="AF26" i="6"/>
  <c r="AE26" i="6"/>
  <c r="AD26" i="6"/>
  <c r="Z26" i="6"/>
  <c r="I26" i="6"/>
  <c r="AL26" i="6" s="1"/>
  <c r="BJ24" i="6"/>
  <c r="BI24" i="6"/>
  <c r="AC24" i="6" s="1"/>
  <c r="BH24" i="6"/>
  <c r="AB24" i="6" s="1"/>
  <c r="BF24" i="6"/>
  <c r="BD24" i="6"/>
  <c r="AX24" i="6"/>
  <c r="AP24" i="6"/>
  <c r="AO24" i="6"/>
  <c r="AW24" i="6" s="1"/>
  <c r="AK24" i="6"/>
  <c r="AJ24" i="6"/>
  <c r="AH24" i="6"/>
  <c r="AG24" i="6"/>
  <c r="AF24" i="6"/>
  <c r="C18" i="4" s="1"/>
  <c r="AE24" i="6"/>
  <c r="AD24" i="6"/>
  <c r="Z24" i="6"/>
  <c r="I24" i="6"/>
  <c r="AL24" i="6" s="1"/>
  <c r="BJ22" i="6"/>
  <c r="BI22" i="6"/>
  <c r="AC22" i="6" s="1"/>
  <c r="BH22" i="6"/>
  <c r="AB22" i="6" s="1"/>
  <c r="BF22" i="6"/>
  <c r="BD22" i="6"/>
  <c r="AX22" i="6"/>
  <c r="BC22" i="6" s="1"/>
  <c r="AW22" i="6"/>
  <c r="AV22" i="6" s="1"/>
  <c r="AP22" i="6"/>
  <c r="AO22" i="6"/>
  <c r="AL22" i="6"/>
  <c r="AK22" i="6"/>
  <c r="AJ22" i="6"/>
  <c r="AH22" i="6"/>
  <c r="AG22" i="6"/>
  <c r="AF22" i="6"/>
  <c r="AE22" i="6"/>
  <c r="AD22" i="6"/>
  <c r="Z22" i="6"/>
  <c r="I22" i="6"/>
  <c r="BJ21" i="6"/>
  <c r="BI21" i="6"/>
  <c r="BH21" i="6"/>
  <c r="AB21" i="6" s="1"/>
  <c r="BF21" i="6"/>
  <c r="BD21" i="6"/>
  <c r="AX21" i="6"/>
  <c r="AW21" i="6"/>
  <c r="BC21" i="6" s="1"/>
  <c r="AP21" i="6"/>
  <c r="AO21" i="6"/>
  <c r="AK21" i="6"/>
  <c r="AJ21" i="6"/>
  <c r="AH21" i="6"/>
  <c r="AG21" i="6"/>
  <c r="AF21" i="6"/>
  <c r="AE21" i="6"/>
  <c r="AD21" i="6"/>
  <c r="AC21" i="6"/>
  <c r="Z21" i="6"/>
  <c r="I21" i="6"/>
  <c r="AL21" i="6" s="1"/>
  <c r="BJ20" i="6"/>
  <c r="BI20" i="6"/>
  <c r="BH20" i="6"/>
  <c r="BF20" i="6"/>
  <c r="BD20" i="6"/>
  <c r="AX20" i="6"/>
  <c r="AW20" i="6"/>
  <c r="BC20" i="6" s="1"/>
  <c r="AV20" i="6"/>
  <c r="AP20" i="6"/>
  <c r="AO20" i="6"/>
  <c r="AL20" i="6"/>
  <c r="AK20" i="6"/>
  <c r="AJ20" i="6"/>
  <c r="AH20" i="6"/>
  <c r="AG20" i="6"/>
  <c r="AF20" i="6"/>
  <c r="AE20" i="6"/>
  <c r="AD20" i="6"/>
  <c r="AC20" i="6"/>
  <c r="AB20" i="6"/>
  <c r="Z20" i="6"/>
  <c r="I20" i="6"/>
  <c r="BJ19" i="6"/>
  <c r="BH19" i="6"/>
  <c r="BF19" i="6"/>
  <c r="BD19" i="6"/>
  <c r="AW19" i="6"/>
  <c r="AP19" i="6"/>
  <c r="BI19" i="6" s="1"/>
  <c r="AC19" i="6" s="1"/>
  <c r="AO19" i="6"/>
  <c r="AK19" i="6"/>
  <c r="AJ19" i="6"/>
  <c r="AH19" i="6"/>
  <c r="AG19" i="6"/>
  <c r="AF19" i="6"/>
  <c r="AE19" i="6"/>
  <c r="AD19" i="6"/>
  <c r="AB19" i="6"/>
  <c r="Z19" i="6"/>
  <c r="I19" i="6"/>
  <c r="AL19" i="6" s="1"/>
  <c r="BJ18" i="6"/>
  <c r="BF18" i="6"/>
  <c r="BD18" i="6"/>
  <c r="AP18" i="6"/>
  <c r="BI18" i="6" s="1"/>
  <c r="AC18" i="6" s="1"/>
  <c r="AO18" i="6"/>
  <c r="BH18" i="6" s="1"/>
  <c r="AB18" i="6" s="1"/>
  <c r="AK18" i="6"/>
  <c r="AJ18" i="6"/>
  <c r="AH18" i="6"/>
  <c r="AG18" i="6"/>
  <c r="AF18" i="6"/>
  <c r="AE18" i="6"/>
  <c r="AD18" i="6"/>
  <c r="Z18" i="6"/>
  <c r="I18" i="6"/>
  <c r="AL18" i="6" s="1"/>
  <c r="BJ17" i="6"/>
  <c r="BF17" i="6"/>
  <c r="BD17" i="6"/>
  <c r="AP17" i="6"/>
  <c r="BI17" i="6" s="1"/>
  <c r="AC17" i="6" s="1"/>
  <c r="AO17" i="6"/>
  <c r="BH17" i="6" s="1"/>
  <c r="AB17" i="6" s="1"/>
  <c r="AL17" i="6"/>
  <c r="AK17" i="6"/>
  <c r="AJ17" i="6"/>
  <c r="AH17" i="6"/>
  <c r="AG17" i="6"/>
  <c r="AF17" i="6"/>
  <c r="AE17" i="6"/>
  <c r="AD17" i="6"/>
  <c r="Z17" i="6"/>
  <c r="C21" i="4" s="1"/>
  <c r="I17" i="6"/>
  <c r="BJ16" i="6"/>
  <c r="BF16" i="6"/>
  <c r="BD16" i="6"/>
  <c r="AP16" i="6"/>
  <c r="AX16" i="6" s="1"/>
  <c r="AO16" i="6"/>
  <c r="BH16" i="6" s="1"/>
  <c r="AB16" i="6" s="1"/>
  <c r="AL16" i="6"/>
  <c r="AK16" i="6"/>
  <c r="C28" i="4" s="1"/>
  <c r="F28" i="4" s="1"/>
  <c r="AJ16" i="6"/>
  <c r="AH16" i="6"/>
  <c r="AG16" i="6"/>
  <c r="AF16" i="6"/>
  <c r="AE16" i="6"/>
  <c r="AD16" i="6"/>
  <c r="Z16" i="6"/>
  <c r="I16" i="6"/>
  <c r="BJ15" i="6"/>
  <c r="BI15" i="6"/>
  <c r="AC15" i="6" s="1"/>
  <c r="BF15" i="6"/>
  <c r="BD15" i="6"/>
  <c r="AX15" i="6"/>
  <c r="AP15" i="6"/>
  <c r="AO15" i="6"/>
  <c r="AW15" i="6" s="1"/>
  <c r="AL15" i="6"/>
  <c r="AK15" i="6"/>
  <c r="AT13" i="6" s="1"/>
  <c r="AJ15" i="6"/>
  <c r="AS13" i="6" s="1"/>
  <c r="AH15" i="6"/>
  <c r="AG15" i="6"/>
  <c r="AF15" i="6"/>
  <c r="AE15" i="6"/>
  <c r="AD15" i="6"/>
  <c r="Z15" i="6"/>
  <c r="I15" i="6"/>
  <c r="BJ14" i="6"/>
  <c r="BI14" i="6"/>
  <c r="AC14" i="6" s="1"/>
  <c r="BH14" i="6"/>
  <c r="AB14" i="6" s="1"/>
  <c r="BF14" i="6"/>
  <c r="BD14" i="6"/>
  <c r="AW14" i="6"/>
  <c r="AP14" i="6"/>
  <c r="AX14" i="6" s="1"/>
  <c r="AO14" i="6"/>
  <c r="AL14" i="6"/>
  <c r="AK14" i="6"/>
  <c r="AJ14" i="6"/>
  <c r="AH14" i="6"/>
  <c r="C20" i="4" s="1"/>
  <c r="AG14" i="6"/>
  <c r="AF14" i="6"/>
  <c r="AE14" i="6"/>
  <c r="AD14" i="6"/>
  <c r="Z14" i="6"/>
  <c r="I14" i="6"/>
  <c r="I13" i="6"/>
  <c r="I12" i="6" s="1"/>
  <c r="AU1" i="6"/>
  <c r="AT1" i="6"/>
  <c r="AS1" i="6"/>
  <c r="I35" i="5"/>
  <c r="I36" i="5" s="1"/>
  <c r="I24" i="4" s="1"/>
  <c r="I26" i="5"/>
  <c r="I25" i="5"/>
  <c r="I18" i="4" s="1"/>
  <c r="I24" i="5"/>
  <c r="I23" i="5"/>
  <c r="I16" i="4" s="1"/>
  <c r="I22" i="5"/>
  <c r="I27" i="5" s="1"/>
  <c r="I21" i="5"/>
  <c r="I17" i="5"/>
  <c r="F16" i="4" s="1"/>
  <c r="I16" i="5"/>
  <c r="I15" i="5"/>
  <c r="I18" i="5" s="1"/>
  <c r="F29" i="5" s="1"/>
  <c r="I10" i="5"/>
  <c r="F10" i="5"/>
  <c r="C10" i="5"/>
  <c r="F8" i="5"/>
  <c r="C8" i="5"/>
  <c r="F6" i="5"/>
  <c r="C6" i="5"/>
  <c r="F4" i="5"/>
  <c r="C4" i="5"/>
  <c r="F2" i="5"/>
  <c r="C2" i="5"/>
  <c r="C27" i="4"/>
  <c r="I19" i="4"/>
  <c r="I17" i="4"/>
  <c r="I15" i="4"/>
  <c r="F15" i="4"/>
  <c r="I14" i="4"/>
  <c r="F14" i="4"/>
  <c r="F22" i="4" s="1"/>
  <c r="I10" i="4"/>
  <c r="F10" i="4"/>
  <c r="C10" i="4"/>
  <c r="F8" i="4"/>
  <c r="C8" i="4"/>
  <c r="F6" i="4"/>
  <c r="C6" i="4"/>
  <c r="F4" i="4"/>
  <c r="C4" i="4"/>
  <c r="F2" i="4"/>
  <c r="C2" i="4"/>
  <c r="F8" i="3"/>
  <c r="C8" i="3"/>
  <c r="F6" i="3"/>
  <c r="C6" i="3"/>
  <c r="F4" i="3"/>
  <c r="C4" i="3"/>
  <c r="F2" i="3"/>
  <c r="C2" i="3"/>
  <c r="N14" i="2"/>
  <c r="N13" i="2"/>
  <c r="N12" i="2"/>
  <c r="J8" i="2"/>
  <c r="H8" i="2"/>
  <c r="D8" i="2"/>
  <c r="J6" i="2"/>
  <c r="H6" i="2"/>
  <c r="D6" i="2"/>
  <c r="J4" i="2"/>
  <c r="H4" i="2"/>
  <c r="D4" i="2"/>
  <c r="J2" i="2"/>
  <c r="H2" i="2"/>
  <c r="D2" i="2"/>
  <c r="P30" i="1"/>
  <c r="P29" i="1"/>
  <c r="P28" i="1"/>
  <c r="P27" i="1"/>
  <c r="P26" i="1"/>
  <c r="P25" i="1"/>
  <c r="N24" i="1"/>
  <c r="P23" i="1"/>
  <c r="P22" i="1"/>
  <c r="P21" i="1"/>
  <c r="P20" i="1"/>
  <c r="P19" i="1"/>
  <c r="P18" i="1"/>
  <c r="P17" i="1"/>
  <c r="P16" i="1"/>
  <c r="P15" i="1"/>
  <c r="N14" i="1"/>
  <c r="P13" i="1"/>
  <c r="N12" i="1"/>
  <c r="J8" i="1"/>
  <c r="H8" i="1"/>
  <c r="D8" i="1"/>
  <c r="J6" i="1"/>
  <c r="H6" i="1"/>
  <c r="D6" i="1"/>
  <c r="J4" i="1"/>
  <c r="H4" i="1"/>
  <c r="D4" i="1"/>
  <c r="J2" i="1"/>
  <c r="H2" i="1"/>
  <c r="D2" i="1"/>
  <c r="L12" i="2" l="1"/>
  <c r="P12" i="2" s="1"/>
  <c r="L12" i="1"/>
  <c r="P12" i="1" s="1"/>
  <c r="BC14" i="6"/>
  <c r="AU33" i="6"/>
  <c r="BC15" i="6"/>
  <c r="AV15" i="6"/>
  <c r="I22" i="4"/>
  <c r="AV24" i="6"/>
  <c r="BC24" i="6"/>
  <c r="AU13" i="6"/>
  <c r="BC19" i="6"/>
  <c r="BH15" i="6"/>
  <c r="AB15" i="6" s="1"/>
  <c r="C14" i="4" s="1"/>
  <c r="C22" i="4" s="1"/>
  <c r="BI16" i="6"/>
  <c r="AC16" i="6" s="1"/>
  <c r="C15" i="4" s="1"/>
  <c r="AV21" i="6"/>
  <c r="AV51" i="6"/>
  <c r="BC51" i="6"/>
  <c r="BI97" i="6"/>
  <c r="AE97" i="6" s="1"/>
  <c r="AX97" i="6"/>
  <c r="AV97" i="6" s="1"/>
  <c r="BI119" i="6"/>
  <c r="AE119" i="6" s="1"/>
  <c r="AX119" i="6"/>
  <c r="BC132" i="6"/>
  <c r="AV132" i="6"/>
  <c r="BH136" i="6"/>
  <c r="AW136" i="6"/>
  <c r="AV139" i="6"/>
  <c r="BC144" i="6"/>
  <c r="AV144" i="6"/>
  <c r="I259" i="6"/>
  <c r="AL263" i="6"/>
  <c r="AV58" i="6"/>
  <c r="BC58" i="6"/>
  <c r="BH94" i="6"/>
  <c r="AD94" i="6" s="1"/>
  <c r="AW94" i="6"/>
  <c r="BC97" i="6"/>
  <c r="AV128" i="6"/>
  <c r="AW208" i="6"/>
  <c r="BH208" i="6"/>
  <c r="BH221" i="6"/>
  <c r="AD221" i="6" s="1"/>
  <c r="AW221" i="6"/>
  <c r="BC261" i="6"/>
  <c r="BC66" i="6"/>
  <c r="BC73" i="6"/>
  <c r="AV85" i="6"/>
  <c r="BC85" i="6"/>
  <c r="BI121" i="6"/>
  <c r="AE121" i="6" s="1"/>
  <c r="AX121" i="6"/>
  <c r="AV121" i="6" s="1"/>
  <c r="BC204" i="6"/>
  <c r="AV204" i="6"/>
  <c r="BC247" i="6"/>
  <c r="AV247" i="6"/>
  <c r="AW18" i="6"/>
  <c r="AX19" i="6"/>
  <c r="AV19" i="6" s="1"/>
  <c r="BH46" i="6"/>
  <c r="AB46" i="6" s="1"/>
  <c r="AW46" i="6"/>
  <c r="AU60" i="6"/>
  <c r="AS77" i="6"/>
  <c r="AV90" i="6"/>
  <c r="BC90" i="6"/>
  <c r="BC100" i="6"/>
  <c r="BC104" i="6"/>
  <c r="AX174" i="6"/>
  <c r="AV174" i="6" s="1"/>
  <c r="BI174" i="6"/>
  <c r="AE174" i="6" s="1"/>
  <c r="BC176" i="6"/>
  <c r="AV176" i="6"/>
  <c r="AW244" i="6"/>
  <c r="BH244" i="6"/>
  <c r="AB244" i="6" s="1"/>
  <c r="AW17" i="6"/>
  <c r="AX18" i="6"/>
  <c r="BI46" i="6"/>
  <c r="AC46" i="6" s="1"/>
  <c r="AX46" i="6"/>
  <c r="AT60" i="6"/>
  <c r="BC78" i="6"/>
  <c r="AT83" i="6"/>
  <c r="AV106" i="6"/>
  <c r="BC106" i="6"/>
  <c r="AV112" i="6"/>
  <c r="BC112" i="6"/>
  <c r="BH117" i="6"/>
  <c r="AD117" i="6" s="1"/>
  <c r="AW117" i="6"/>
  <c r="AV124" i="6"/>
  <c r="BC138" i="6"/>
  <c r="AV138" i="6"/>
  <c r="AV148" i="6"/>
  <c r="BH202" i="6"/>
  <c r="AD202" i="6" s="1"/>
  <c r="AW202" i="6"/>
  <c r="AV285" i="6"/>
  <c r="AW16" i="6"/>
  <c r="AX17" i="6"/>
  <c r="BC42" i="6"/>
  <c r="AV79" i="6"/>
  <c r="BC79" i="6"/>
  <c r="BH95" i="6"/>
  <c r="AD95" i="6" s="1"/>
  <c r="AW95" i="6"/>
  <c r="I111" i="6"/>
  <c r="BC134" i="6"/>
  <c r="AV134" i="6"/>
  <c r="AU142" i="6"/>
  <c r="BC174" i="6"/>
  <c r="AV198" i="6"/>
  <c r="BC235" i="6"/>
  <c r="AV235" i="6"/>
  <c r="I238" i="6"/>
  <c r="AV256" i="6"/>
  <c r="BC285" i="6"/>
  <c r="AV14" i="6"/>
  <c r="AU89" i="6"/>
  <c r="BI95" i="6"/>
  <c r="AE95" i="6" s="1"/>
  <c r="AX95" i="6"/>
  <c r="BC98" i="6"/>
  <c r="AU111" i="6"/>
  <c r="BH194" i="6"/>
  <c r="AD194" i="6" s="1"/>
  <c r="AW194" i="6"/>
  <c r="AX30" i="6"/>
  <c r="BC30" i="6" s="1"/>
  <c r="AX36" i="6"/>
  <c r="AV36" i="6" s="1"/>
  <c r="AT77" i="6"/>
  <c r="BC93" i="6"/>
  <c r="AV93" i="6"/>
  <c r="BH96" i="6"/>
  <c r="AD96" i="6" s="1"/>
  <c r="AW96" i="6"/>
  <c r="AS111" i="6"/>
  <c r="BC143" i="6"/>
  <c r="AU145" i="6"/>
  <c r="AX161" i="6"/>
  <c r="BI161" i="6"/>
  <c r="AE161" i="6" s="1"/>
  <c r="AU171" i="6"/>
  <c r="AU186" i="6"/>
  <c r="BH190" i="6"/>
  <c r="AD190" i="6" s="1"/>
  <c r="AW190" i="6"/>
  <c r="AW213" i="6"/>
  <c r="BH213" i="6"/>
  <c r="AD213" i="6" s="1"/>
  <c r="AS209" i="6"/>
  <c r="BI232" i="6"/>
  <c r="AE232" i="6" s="1"/>
  <c r="AX232" i="6"/>
  <c r="I28" i="6"/>
  <c r="BC64" i="6"/>
  <c r="BC91" i="6"/>
  <c r="BI96" i="6"/>
  <c r="AE96" i="6" s="1"/>
  <c r="AX96" i="6"/>
  <c r="BC107" i="6"/>
  <c r="AV107" i="6"/>
  <c r="AT111" i="6"/>
  <c r="BH118" i="6"/>
  <c r="AD118" i="6" s="1"/>
  <c r="AW118" i="6"/>
  <c r="AV123" i="6"/>
  <c r="BC126" i="6"/>
  <c r="BC161" i="6"/>
  <c r="AV161" i="6"/>
  <c r="AX213" i="6"/>
  <c r="BI213" i="6"/>
  <c r="AE213" i="6" s="1"/>
  <c r="BI272" i="6"/>
  <c r="AC272" i="6" s="1"/>
  <c r="AX272" i="6"/>
  <c r="BH44" i="6"/>
  <c r="AB44" i="6" s="1"/>
  <c r="AW44" i="6"/>
  <c r="AV65" i="6"/>
  <c r="BC65" i="6"/>
  <c r="AV71" i="6"/>
  <c r="BC71" i="6"/>
  <c r="BC110" i="6"/>
  <c r="AV110" i="6"/>
  <c r="BI118" i="6"/>
  <c r="AE118" i="6" s="1"/>
  <c r="AX118" i="6"/>
  <c r="BC182" i="6"/>
  <c r="AV182" i="6"/>
  <c r="AL185" i="6"/>
  <c r="I181" i="6"/>
  <c r="BH233" i="6"/>
  <c r="AD233" i="6" s="1"/>
  <c r="AW233" i="6"/>
  <c r="BI254" i="6"/>
  <c r="AC254" i="6" s="1"/>
  <c r="AX254" i="6"/>
  <c r="I33" i="6"/>
  <c r="BC61" i="6"/>
  <c r="AS60" i="6"/>
  <c r="AS70" i="6"/>
  <c r="BC81" i="6"/>
  <c r="BC116" i="6"/>
  <c r="AV116" i="6"/>
  <c r="BH119" i="6"/>
  <c r="AD119" i="6" s="1"/>
  <c r="AW119" i="6"/>
  <c r="AV158" i="6"/>
  <c r="BC158" i="6"/>
  <c r="AX169" i="6"/>
  <c r="AV169" i="6" s="1"/>
  <c r="BI169" i="6"/>
  <c r="AG169" i="6" s="1"/>
  <c r="C19" i="4" s="1"/>
  <c r="AU181" i="6"/>
  <c r="AT209" i="6"/>
  <c r="BC229" i="6"/>
  <c r="AV229" i="6"/>
  <c r="AU250" i="6"/>
  <c r="AW263" i="6"/>
  <c r="BH263" i="6"/>
  <c r="BI151" i="6"/>
  <c r="AE151" i="6" s="1"/>
  <c r="AX151" i="6"/>
  <c r="BC151" i="6" s="1"/>
  <c r="BC155" i="6"/>
  <c r="AV155" i="6"/>
  <c r="AT159" i="6"/>
  <c r="BH185" i="6"/>
  <c r="AW185" i="6"/>
  <c r="AV192" i="6"/>
  <c r="AW242" i="6"/>
  <c r="BH242" i="6"/>
  <c r="AB242" i="6" s="1"/>
  <c r="BI249" i="6"/>
  <c r="AC249" i="6" s="1"/>
  <c r="AX249" i="6"/>
  <c r="BC265" i="6"/>
  <c r="AV265" i="6"/>
  <c r="AL291" i="6"/>
  <c r="AU289" i="6" s="1"/>
  <c r="I289" i="6"/>
  <c r="BI51" i="6"/>
  <c r="AC51" i="6" s="1"/>
  <c r="BI58" i="6"/>
  <c r="AC58" i="6" s="1"/>
  <c r="BH64" i="6"/>
  <c r="AB64" i="6" s="1"/>
  <c r="BI65" i="6"/>
  <c r="AC65" i="6" s="1"/>
  <c r="BI71" i="6"/>
  <c r="AC71" i="6" s="1"/>
  <c r="I77" i="6"/>
  <c r="BH78" i="6"/>
  <c r="AD78" i="6" s="1"/>
  <c r="C16" i="4" s="1"/>
  <c r="BI79" i="6"/>
  <c r="AE79" i="6" s="1"/>
  <c r="C17" i="4" s="1"/>
  <c r="I83" i="6"/>
  <c r="BH84" i="6"/>
  <c r="AD84" i="6" s="1"/>
  <c r="BI85" i="6"/>
  <c r="AE85" i="6" s="1"/>
  <c r="BI90" i="6"/>
  <c r="AE90" i="6" s="1"/>
  <c r="BH104" i="6"/>
  <c r="AD104" i="6" s="1"/>
  <c r="BI106" i="6"/>
  <c r="AE106" i="6" s="1"/>
  <c r="AW167" i="6"/>
  <c r="BH167" i="6"/>
  <c r="AD167" i="6" s="1"/>
  <c r="BC169" i="6"/>
  <c r="AW172" i="6"/>
  <c r="BH172" i="6"/>
  <c r="AD172" i="6" s="1"/>
  <c r="BI180" i="6"/>
  <c r="AX180" i="6"/>
  <c r="BC180" i="6" s="1"/>
  <c r="AX208" i="6"/>
  <c r="BI208" i="6"/>
  <c r="BH218" i="6"/>
  <c r="AD218" i="6" s="1"/>
  <c r="AW218" i="6"/>
  <c r="AV239" i="6"/>
  <c r="AX244" i="6"/>
  <c r="BI244" i="6"/>
  <c r="AC244" i="6" s="1"/>
  <c r="BC272" i="6"/>
  <c r="AV272" i="6"/>
  <c r="L26" i="1" s="1"/>
  <c r="N26" i="1" s="1"/>
  <c r="I142" i="6"/>
  <c r="I145" i="6"/>
  <c r="BH150" i="6"/>
  <c r="AD150" i="6" s="1"/>
  <c r="AW150" i="6"/>
  <c r="BI167" i="6"/>
  <c r="AE167" i="6" s="1"/>
  <c r="AX167" i="6"/>
  <c r="I171" i="6"/>
  <c r="BI172" i="6"/>
  <c r="AE172" i="6" s="1"/>
  <c r="AX172" i="6"/>
  <c r="AV180" i="6"/>
  <c r="BC239" i="6"/>
  <c r="I250" i="6"/>
  <c r="BI265" i="6"/>
  <c r="AV282" i="6"/>
  <c r="L29" i="1" s="1"/>
  <c r="N29" i="1" s="1"/>
  <c r="BC282" i="6"/>
  <c r="BI292" i="6"/>
  <c r="AX292" i="6"/>
  <c r="BC292" i="6" s="1"/>
  <c r="AV49" i="6"/>
  <c r="AV56" i="6"/>
  <c r="AV88" i="6"/>
  <c r="AV153" i="6"/>
  <c r="AT171" i="6"/>
  <c r="I199" i="6"/>
  <c r="AL202" i="6"/>
  <c r="AU199" i="6" s="1"/>
  <c r="AS199" i="6"/>
  <c r="BI222" i="6"/>
  <c r="AE222" i="6" s="1"/>
  <c r="AX222" i="6"/>
  <c r="BH248" i="6"/>
  <c r="AB248" i="6" s="1"/>
  <c r="AW248" i="6"/>
  <c r="BC252" i="6"/>
  <c r="AV252" i="6"/>
  <c r="AU259" i="6"/>
  <c r="AV260" i="6"/>
  <c r="BC277" i="6"/>
  <c r="AV277" i="6"/>
  <c r="L28" i="1" s="1"/>
  <c r="N28" i="1" s="1"/>
  <c r="BC290" i="6"/>
  <c r="AV290" i="6"/>
  <c r="AV292" i="6"/>
  <c r="AV48" i="6"/>
  <c r="AV54" i="6"/>
  <c r="AV67" i="6"/>
  <c r="AV75" i="6"/>
  <c r="AV82" i="6"/>
  <c r="AV108" i="6"/>
  <c r="AV114" i="6"/>
  <c r="AX147" i="6"/>
  <c r="AV147" i="6" s="1"/>
  <c r="AV157" i="6"/>
  <c r="BC164" i="6"/>
  <c r="BC222" i="6"/>
  <c r="AV222" i="6"/>
  <c r="AW227" i="6"/>
  <c r="BH227" i="6"/>
  <c r="I236" i="6"/>
  <c r="AU238" i="6"/>
  <c r="AX264" i="6"/>
  <c r="BC264" i="6" s="1"/>
  <c r="BI264" i="6"/>
  <c r="AU276" i="6"/>
  <c r="BI294" i="6"/>
  <c r="AX294" i="6"/>
  <c r="BC294" i="6" s="1"/>
  <c r="AV52" i="6"/>
  <c r="AV66" i="6"/>
  <c r="AV73" i="6"/>
  <c r="AV81" i="6"/>
  <c r="AV86" i="6"/>
  <c r="AV91" i="6"/>
  <c r="AV113" i="6"/>
  <c r="AV130" i="6"/>
  <c r="AX146" i="6"/>
  <c r="BC146" i="6" s="1"/>
  <c r="BI146" i="6"/>
  <c r="AE146" i="6" s="1"/>
  <c r="BC163" i="6"/>
  <c r="AX168" i="6"/>
  <c r="AV168" i="6" s="1"/>
  <c r="BI168" i="6"/>
  <c r="AE168" i="6" s="1"/>
  <c r="AX173" i="6"/>
  <c r="AV173" i="6" s="1"/>
  <c r="BI173" i="6"/>
  <c r="AE173" i="6" s="1"/>
  <c r="BH178" i="6"/>
  <c r="AD178" i="6" s="1"/>
  <c r="AW178" i="6"/>
  <c r="BC184" i="6"/>
  <c r="AV184" i="6"/>
  <c r="I186" i="6"/>
  <c r="BC214" i="6"/>
  <c r="AV224" i="6"/>
  <c r="AX237" i="6"/>
  <c r="BC237" i="6" s="1"/>
  <c r="BI237" i="6"/>
  <c r="AC237" i="6" s="1"/>
  <c r="BH288" i="6"/>
  <c r="AB288" i="6" s="1"/>
  <c r="AW288" i="6"/>
  <c r="AV146" i="6"/>
  <c r="I159" i="6"/>
  <c r="AV170" i="6"/>
  <c r="BC189" i="6"/>
  <c r="AV189" i="6"/>
  <c r="BI196" i="6"/>
  <c r="AE196" i="6" s="1"/>
  <c r="AX196" i="6"/>
  <c r="BH253" i="6"/>
  <c r="AB253" i="6" s="1"/>
  <c r="AW253" i="6"/>
  <c r="AL258" i="6"/>
  <c r="AU257" i="6" s="1"/>
  <c r="BH153" i="6"/>
  <c r="AD153" i="6" s="1"/>
  <c r="AU159" i="6"/>
  <c r="AT186" i="6"/>
  <c r="BC196" i="6"/>
  <c r="AV196" i="6"/>
  <c r="BI203" i="6"/>
  <c r="AE203" i="6" s="1"/>
  <c r="AX203" i="6"/>
  <c r="AW207" i="6"/>
  <c r="BH207" i="6"/>
  <c r="AD207" i="6" s="1"/>
  <c r="AW212" i="6"/>
  <c r="BH212" i="6"/>
  <c r="AD212" i="6" s="1"/>
  <c r="BC223" i="6"/>
  <c r="AW258" i="6"/>
  <c r="BH258" i="6"/>
  <c r="AB258" i="6" s="1"/>
  <c r="AT259" i="6"/>
  <c r="BH264" i="6"/>
  <c r="BH275" i="6"/>
  <c r="AD275" i="6" s="1"/>
  <c r="AW275" i="6"/>
  <c r="BC279" i="6"/>
  <c r="AV279" i="6"/>
  <c r="I287" i="6"/>
  <c r="AL288" i="6"/>
  <c r="AU287" i="6" s="1"/>
  <c r="BH291" i="6"/>
  <c r="AW291" i="6"/>
  <c r="AX141" i="6"/>
  <c r="AV149" i="6"/>
  <c r="AS159" i="6"/>
  <c r="BH166" i="6"/>
  <c r="AD166" i="6" s="1"/>
  <c r="AW166" i="6"/>
  <c r="BI192" i="6"/>
  <c r="AE192" i="6" s="1"/>
  <c r="AX192" i="6"/>
  <c r="BC192" i="6" s="1"/>
  <c r="BI200" i="6"/>
  <c r="AE200" i="6" s="1"/>
  <c r="AX200" i="6"/>
  <c r="BC200" i="6" s="1"/>
  <c r="BC203" i="6"/>
  <c r="AV203" i="6"/>
  <c r="I209" i="6"/>
  <c r="BI214" i="6"/>
  <c r="AE214" i="6" s="1"/>
  <c r="BC216" i="6"/>
  <c r="AV216" i="6"/>
  <c r="BI220" i="6"/>
  <c r="AE220" i="6" s="1"/>
  <c r="AX220" i="6"/>
  <c r="BH237" i="6"/>
  <c r="AB237" i="6" s="1"/>
  <c r="I274" i="6"/>
  <c r="AL275" i="6"/>
  <c r="AU274" i="6" s="1"/>
  <c r="BI277" i="6"/>
  <c r="AE277" i="6" s="1"/>
  <c r="BH293" i="6"/>
  <c r="AW293" i="6"/>
  <c r="AW206" i="6"/>
  <c r="AX207" i="6"/>
  <c r="AW211" i="6"/>
  <c r="AX212" i="6"/>
  <c r="AW225" i="6"/>
  <c r="AX227" i="6"/>
  <c r="AW241" i="6"/>
  <c r="AX242" i="6"/>
  <c r="AX258" i="6"/>
  <c r="AW262" i="6"/>
  <c r="AX263" i="6"/>
  <c r="AW270" i="6"/>
  <c r="AV294" i="6"/>
  <c r="AW220" i="6"/>
  <c r="AX221" i="6"/>
  <c r="AW232" i="6"/>
  <c r="AX233" i="6"/>
  <c r="AW249" i="6"/>
  <c r="AW254" i="6"/>
  <c r="AX288" i="6"/>
  <c r="I284" i="6"/>
  <c r="I268" i="6" s="1"/>
  <c r="L14" i="2" l="1"/>
  <c r="P14" i="2" s="1"/>
  <c r="L24" i="1"/>
  <c r="P24" i="1" s="1"/>
  <c r="AV206" i="6"/>
  <c r="BC206" i="6"/>
  <c r="L16" i="1"/>
  <c r="N16" i="1" s="1"/>
  <c r="AV225" i="6"/>
  <c r="BC225" i="6"/>
  <c r="AV220" i="6"/>
  <c r="BC220" i="6"/>
  <c r="AV141" i="6"/>
  <c r="BC141" i="6"/>
  <c r="AV258" i="6"/>
  <c r="BC258" i="6"/>
  <c r="BC288" i="6"/>
  <c r="AV288" i="6"/>
  <c r="BC147" i="6"/>
  <c r="AV167" i="6"/>
  <c r="BC167" i="6"/>
  <c r="AV30" i="6"/>
  <c r="C29" i="4"/>
  <c r="BC121" i="6"/>
  <c r="AV262" i="6"/>
  <c r="BC262" i="6"/>
  <c r="BC173" i="6"/>
  <c r="BC194" i="6"/>
  <c r="AV194" i="6"/>
  <c r="L17" i="1"/>
  <c r="N17" i="1" s="1"/>
  <c r="BC117" i="6"/>
  <c r="AV117" i="6"/>
  <c r="BC17" i="6"/>
  <c r="AV17" i="6"/>
  <c r="L13" i="1" s="1"/>
  <c r="N13" i="1" s="1"/>
  <c r="L18" i="1"/>
  <c r="N18" i="1" s="1"/>
  <c r="BC291" i="6"/>
  <c r="AV291" i="6"/>
  <c r="BC293" i="6"/>
  <c r="AV293" i="6"/>
  <c r="BC168" i="6"/>
  <c r="BC46" i="6"/>
  <c r="AV46" i="6"/>
  <c r="AV218" i="6"/>
  <c r="BC218" i="6"/>
  <c r="BC136" i="6"/>
  <c r="AV136" i="6"/>
  <c r="BC36" i="6"/>
  <c r="AV207" i="6"/>
  <c r="BC207" i="6"/>
  <c r="AV150" i="6"/>
  <c r="BC150" i="6"/>
  <c r="I27" i="6"/>
  <c r="BC233" i="6"/>
  <c r="AV233" i="6"/>
  <c r="BC118" i="6"/>
  <c r="AV118" i="6"/>
  <c r="AV244" i="6"/>
  <c r="BC244" i="6"/>
  <c r="BC94" i="6"/>
  <c r="AV94" i="6"/>
  <c r="AV212" i="6"/>
  <c r="BC212" i="6"/>
  <c r="AV248" i="6"/>
  <c r="BC248" i="6"/>
  <c r="BC119" i="6"/>
  <c r="AV119" i="6"/>
  <c r="BC16" i="6"/>
  <c r="AV16" i="6"/>
  <c r="I295" i="6"/>
  <c r="AV227" i="6"/>
  <c r="BC227" i="6"/>
  <c r="AV185" i="6"/>
  <c r="BC185" i="6"/>
  <c r="AV241" i="6"/>
  <c r="BC241" i="6"/>
  <c r="AV166" i="6"/>
  <c r="BC166" i="6"/>
  <c r="AV44" i="6"/>
  <c r="BC44" i="6"/>
  <c r="L30" i="1"/>
  <c r="N30" i="1" s="1"/>
  <c r="BC18" i="6"/>
  <c r="AV18" i="6"/>
  <c r="BC221" i="6"/>
  <c r="AV221" i="6"/>
  <c r="AV249" i="6"/>
  <c r="BC249" i="6"/>
  <c r="AV172" i="6"/>
  <c r="BC172" i="6"/>
  <c r="AV263" i="6"/>
  <c r="BC263" i="6"/>
  <c r="BC96" i="6"/>
  <c r="AV96" i="6"/>
  <c r="BC202" i="6"/>
  <c r="AV202" i="6"/>
  <c r="BC95" i="6"/>
  <c r="AV95" i="6"/>
  <c r="AV270" i="6"/>
  <c r="L25" i="1" s="1"/>
  <c r="N25" i="1" s="1"/>
  <c r="BC270" i="6"/>
  <c r="AV253" i="6"/>
  <c r="BC253" i="6"/>
  <c r="AV254" i="6"/>
  <c r="BC254" i="6"/>
  <c r="BC275" i="6"/>
  <c r="AV275" i="6"/>
  <c r="L27" i="1" s="1"/>
  <c r="N27" i="1" s="1"/>
  <c r="AV232" i="6"/>
  <c r="BC232" i="6"/>
  <c r="AV237" i="6"/>
  <c r="AV264" i="6"/>
  <c r="AV242" i="6"/>
  <c r="L23" i="1" s="1"/>
  <c r="N23" i="1" s="1"/>
  <c r="BC242" i="6"/>
  <c r="AV213" i="6"/>
  <c r="BC213" i="6"/>
  <c r="AV151" i="6"/>
  <c r="AV178" i="6"/>
  <c r="BC178" i="6"/>
  <c r="AV211" i="6"/>
  <c r="L22" i="1" s="1"/>
  <c r="N22" i="1" s="1"/>
  <c r="BC211" i="6"/>
  <c r="AV200" i="6"/>
  <c r="L21" i="1" s="1"/>
  <c r="N21" i="1" s="1"/>
  <c r="AV190" i="6"/>
  <c r="L20" i="1" s="1"/>
  <c r="N20" i="1" s="1"/>
  <c r="BC190" i="6"/>
  <c r="AV208" i="6"/>
  <c r="BC208" i="6"/>
  <c r="L19" i="1"/>
  <c r="N19" i="1" s="1"/>
  <c r="F29" i="4" l="1"/>
  <c r="I28" i="4"/>
  <c r="L15" i="1"/>
  <c r="N15" i="1" s="1"/>
  <c r="L31" i="1" s="1"/>
  <c r="L14" i="1"/>
  <c r="P14" i="1" s="1"/>
  <c r="L13" i="2"/>
  <c r="P13" i="2" s="1"/>
  <c r="L15" i="2" s="1"/>
  <c r="I29" i="4" l="1"/>
</calcChain>
</file>

<file path=xl/sharedStrings.xml><?xml version="1.0" encoding="utf-8"?>
<sst xmlns="http://schemas.openxmlformats.org/spreadsheetml/2006/main" count="4267" uniqueCount="881">
  <si>
    <t>Slepý stavební rozpočet - Jen skupiny</t>
  </si>
  <si>
    <t>Název stavby:</t>
  </si>
  <si>
    <t>Doba výstavby:</t>
  </si>
  <si>
    <t>Objednatel:</t>
  </si>
  <si>
    <t>Druh stavby: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</si>
  <si>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</si>
  <si>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</si>
  <si>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</si>
  <si>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</si>
  <si>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</si>
  <si>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</si>
  <si>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</si>
  <si>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</si>
  <si>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 xml:space="preserve"> </t>
  </si>
  <si>
    <t>Náklady (Kč)</t>
  </si>
  <si>
    <t>Objekt</t>
  </si>
  <si>
    <t>Kód</t>
  </si>
  <si>
    <t>Zkrácený popis</t>
  </si>
  <si>
    <t>Celkem</t>
  </si>
  <si>
    <t>01</t>
  </si>
  <si>
    <t/>
  </si>
  <si>
    <t>VRN</t>
  </si>
  <si>
    <t>F</t>
  </si>
  <si>
    <t>1</t>
  </si>
  <si>
    <t>Zemní práce</t>
  </si>
  <si>
    <t>T</t>
  </si>
  <si>
    <t>02</t>
  </si>
  <si>
    <t>Stavební úpravy hygienického zázemí</t>
  </si>
  <si>
    <t>3</t>
  </si>
  <si>
    <t>Svislé a kompletní konstrukce</t>
  </si>
  <si>
    <t>6</t>
  </si>
  <si>
    <t>Úpravy povrchů a osazování výplní otvorů</t>
  </si>
  <si>
    <t>71</t>
  </si>
  <si>
    <t>Izolace</t>
  </si>
  <si>
    <t>72</t>
  </si>
  <si>
    <t>Zdravotně technické instalace</t>
  </si>
  <si>
    <t>73</t>
  </si>
  <si>
    <t>Ústřední vytápění</t>
  </si>
  <si>
    <t>76</t>
  </si>
  <si>
    <t>Konstrukce</t>
  </si>
  <si>
    <t>77</t>
  </si>
  <si>
    <t>Podlahy</t>
  </si>
  <si>
    <t>78</t>
  </si>
  <si>
    <t>Dokončovací práce</t>
  </si>
  <si>
    <t>9</t>
  </si>
  <si>
    <t>Dokončovací práce, demolice</t>
  </si>
  <si>
    <t>03</t>
  </si>
  <si>
    <t>Demontáž nefunčkního potrubí UT</t>
  </si>
  <si>
    <t>Celkem:</t>
  </si>
  <si>
    <t>Poznámka:</t>
  </si>
  <si>
    <t>Pokud tato dokumentace (z důvodu upřesnění a přiblížení technických parametrů, kvality projektovaných prvků a navrhovaných řešení) obsahuje požadavky nebo odkazy na obchodní firmy nebo názvy, technologie či specifická označení výrobků, jsou tyto odkazy, názvy a označení nezávazná, zadavatel v souladu s § 89 odst. 6 zákona č. 134/2016 sb., o zadávání veřejných zakázek, umožňuje použití i jiných, kvalitativně a technicky obdobných řešení.</t>
  </si>
  <si>
    <t>Slepý stavební rozpočet - Jen objekty celkem</t>
  </si>
  <si>
    <t>Výkaz výměr</t>
  </si>
  <si>
    <t>Č</t>
  </si>
  <si>
    <t>Zkrácený popis / Varianta</t>
  </si>
  <si>
    <t>MJ</t>
  </si>
  <si>
    <t>Množství</t>
  </si>
  <si>
    <t>Potřebné množství</t>
  </si>
  <si>
    <t>100VD</t>
  </si>
  <si>
    <t>10101</t>
  </si>
  <si>
    <t>Náklady zhotovitele související se zajištěním provozů nutných pro provádění díla - zařízení staveniště</t>
  </si>
  <si>
    <t>soubor</t>
  </si>
  <si>
    <t>2</t>
  </si>
  <si>
    <t>10102</t>
  </si>
  <si>
    <t>Náklady zhotovitele související se zajištěním provozů nutných pro provádění díla - provoz zařízení staveniště</t>
  </si>
  <si>
    <t>10103</t>
  </si>
  <si>
    <t>Náklady zhotovitele související se zajištěním provozů nutných pro provádění díla - likvidace zařízení staveniště</t>
  </si>
  <si>
    <t>4</t>
  </si>
  <si>
    <t>10201</t>
  </si>
  <si>
    <t>Dodávka a montáž informačních tabulek a označení včetně zákazu vstupu na staveniště</t>
  </si>
  <si>
    <t>5</t>
  </si>
  <si>
    <t>10205</t>
  </si>
  <si>
    <t>Průběžný úklid přístupové chodby a schodiště</t>
  </si>
  <si>
    <t>10206</t>
  </si>
  <si>
    <t>Vyvzorkování obkladů, dlažeb a ost. zařizovacích předmětů</t>
  </si>
  <si>
    <t>7</t>
  </si>
  <si>
    <t>10204</t>
  </si>
  <si>
    <t>Koordinační činnost zhotovitele</t>
  </si>
  <si>
    <t>8</t>
  </si>
  <si>
    <t>10403</t>
  </si>
  <si>
    <t>Mimostaveništní doprava</t>
  </si>
  <si>
    <t>10405</t>
  </si>
  <si>
    <t>Zřízení provizorní příčky z OSB desek včetně dveří, z důvodu oddělení prostoru stavby (PE fólí a pěnou)</t>
  </si>
  <si>
    <t>- Rám z dřevěných hranolů 80x80
- OSB desky tl. 15mm
- Utěsnění styku příčky PU pěnou</t>
  </si>
  <si>
    <t>10</t>
  </si>
  <si>
    <t>10406</t>
  </si>
  <si>
    <t>Úprava podlahy v místě napojení sociálního zařízení na chodbu</t>
  </si>
  <si>
    <t>- Úprava-doplnění PVC
- Přechodová lišta
- Úprava-doplnění soklů na chodbě</t>
  </si>
  <si>
    <t>11</t>
  </si>
  <si>
    <t>10407</t>
  </si>
  <si>
    <t>Zakrytí nižší střechy</t>
  </si>
  <si>
    <t>m2</t>
  </si>
  <si>
    <t>7*2</t>
  </si>
  <si>
    <t>31</t>
  </si>
  <si>
    <t>Zdi podpěrné a volné</t>
  </si>
  <si>
    <t>12</t>
  </si>
  <si>
    <t>319201311R00</t>
  </si>
  <si>
    <t>Vyrovnání povrchu zdiva maltou tl.do 3 cm</t>
  </si>
  <si>
    <t>(3,1+3,1+7,53+3,1+4,63+1,81+1+2)*4,53</t>
  </si>
  <si>
    <t>13</t>
  </si>
  <si>
    <t>072549111R00</t>
  </si>
  <si>
    <t>Provedení zazdivky otvorů, cihly červené</t>
  </si>
  <si>
    <t>m3</t>
  </si>
  <si>
    <t>0,6*0,1*2</t>
  </si>
  <si>
    <t>14</t>
  </si>
  <si>
    <t>317100013RAA</t>
  </si>
  <si>
    <t>Dodatečná montáž překladu, otvor šířky do 240 cm</t>
  </si>
  <si>
    <t>kus</t>
  </si>
  <si>
    <t>34</t>
  </si>
  <si>
    <t>Stěny a příčky</t>
  </si>
  <si>
    <t>15</t>
  </si>
  <si>
    <t>342255026R00</t>
  </si>
  <si>
    <t>Příčky z desek Ytong tl. 12,5 cm</t>
  </si>
  <si>
    <t>2,15*4,45</t>
  </si>
  <si>
    <t>16</t>
  </si>
  <si>
    <t>342263410R00</t>
  </si>
  <si>
    <t>Osazení revizních dvířek do SDK příček, do 0,25 m2</t>
  </si>
  <si>
    <t>17</t>
  </si>
  <si>
    <t>28349014</t>
  </si>
  <si>
    <t>Dvířka revizní plná SI 3030 rozměr 300x300 mm</t>
  </si>
  <si>
    <t>18</t>
  </si>
  <si>
    <t>342261113RS3</t>
  </si>
  <si>
    <t>Příčka sádrokarton. ocel.kce, 1x oplášť. tl.125 mm</t>
  </si>
  <si>
    <t>(1,675+2,2+1,675)*4,45-0,7*1,97*2</t>
  </si>
  <si>
    <t>19</t>
  </si>
  <si>
    <t>342948111R00</t>
  </si>
  <si>
    <t>Ukotvení příček k cihel.konstr. kotvami na hmožd.</t>
  </si>
  <si>
    <t>m</t>
  </si>
  <si>
    <t>4,45*2</t>
  </si>
  <si>
    <t>20</t>
  </si>
  <si>
    <t>342668111R00</t>
  </si>
  <si>
    <t>Těsnění styku příčky se stáv. konstrukcí PU pěnou</t>
  </si>
  <si>
    <t>21</t>
  </si>
  <si>
    <t>346244381RT2</t>
  </si>
  <si>
    <t>Plentování ocelových nosníků výšky do 20 cm</t>
  </si>
  <si>
    <t>0,14*2*2,15</t>
  </si>
  <si>
    <t>22</t>
  </si>
  <si>
    <t>342264051RT3</t>
  </si>
  <si>
    <t>Podhled sádrokartonový na zavěšenou ocel. konstr.</t>
  </si>
  <si>
    <t>1,35*1,81+1,81*1,625+1,675*0,94+1,675*1,1+3,1*2,83</t>
  </si>
  <si>
    <t>23</t>
  </si>
  <si>
    <t>347081243R00</t>
  </si>
  <si>
    <t>Předstěna bezp.tl.150,O.K.CD,2xopl.,desky RBI 12,5 - obezdění wc modulů</t>
  </si>
  <si>
    <t>3,1*1,5+0,94*1,5+0,9*1,5+(0,9+0,94+3,1)*0,1</t>
  </si>
  <si>
    <t>60</t>
  </si>
  <si>
    <t>Omítky ze suchých směsí</t>
  </si>
  <si>
    <t>24</t>
  </si>
  <si>
    <t>602011141R00</t>
  </si>
  <si>
    <t>Štuk na stěnách vnitřní, ručně</t>
  </si>
  <si>
    <t>(7,53+3,1+4,63+3,1+1,8+1,1+1,675+1,675+1,675+1,675+0,4+0,615+1,81)*2,35</t>
  </si>
  <si>
    <t>(0,435+0,47+0,47+0,47+1,81+1,35+1,81)*2,35</t>
  </si>
  <si>
    <t>25</t>
  </si>
  <si>
    <t>602016193R00</t>
  </si>
  <si>
    <t>Penetrace hloubková stěn</t>
  </si>
  <si>
    <t>61</t>
  </si>
  <si>
    <t>Úprava povrchů vnitřní</t>
  </si>
  <si>
    <t>26</t>
  </si>
  <si>
    <t>610991111R00</t>
  </si>
  <si>
    <t>Zakrývání výplní vnitřních otvorů</t>
  </si>
  <si>
    <t>27</t>
  </si>
  <si>
    <t>612403399RT2</t>
  </si>
  <si>
    <t>Hrubá výplň rýh ve stěnách maltou</t>
  </si>
  <si>
    <t>47*0,2</t>
  </si>
  <si>
    <t>28</t>
  </si>
  <si>
    <t>612481211RT8</t>
  </si>
  <si>
    <t>Montáž výztužné sítě(perlinky)do stěrky-vnit.stěny</t>
  </si>
  <si>
    <t>2,15*4,45*2</t>
  </si>
  <si>
    <t>29</t>
  </si>
  <si>
    <t>612420014RA0</t>
  </si>
  <si>
    <t>Omítka stěn vnitřní vápenocementová hladká</t>
  </si>
  <si>
    <t>62</t>
  </si>
  <si>
    <t>Úprava povrchů vnější</t>
  </si>
  <si>
    <t>30</t>
  </si>
  <si>
    <t>627451000R</t>
  </si>
  <si>
    <t>Vyčištění spár cihelného zdiva stěn, pl.do 20 %</t>
  </si>
  <si>
    <t>Položka obsahuje D+M: náklady na kompletní materiál, mzdy, stroje, režie.</t>
  </si>
  <si>
    <t>63</t>
  </si>
  <si>
    <t>Podlahy a podlahové konstrukce</t>
  </si>
  <si>
    <t>631343824R00</t>
  </si>
  <si>
    <t>Mazanina z polystyrenbetonu tl. 10 cm, 0,9 MPa</t>
  </si>
  <si>
    <t>7,53*3,1*0,1</t>
  </si>
  <si>
    <t>32</t>
  </si>
  <si>
    <t>632411105RT1</t>
  </si>
  <si>
    <t>Samonivelační stěrka, ruč.zpracování tl.5 mm</t>
  </si>
  <si>
    <t>7,53*3,1</t>
  </si>
  <si>
    <t>33</t>
  </si>
  <si>
    <t>631343891R00</t>
  </si>
  <si>
    <t>Penetrace hloubková 0,20 l/m2</t>
  </si>
  <si>
    <t>631319173R00</t>
  </si>
  <si>
    <t>Příplatek za stržení povrchu mazaniny tl. 10 cm</t>
  </si>
  <si>
    <t>2,3343+0,378</t>
  </si>
  <si>
    <t>35</t>
  </si>
  <si>
    <t>631312141R00</t>
  </si>
  <si>
    <t>Doplnění rýh betonem v dosavadních mazaninách</t>
  </si>
  <si>
    <t>27*0,2*0,07</t>
  </si>
  <si>
    <t>36</t>
  </si>
  <si>
    <t>631311121R00</t>
  </si>
  <si>
    <t>Doplnění mazanin betonem do 1 m2, do tl. 8 cm - vyspravení pod parapety</t>
  </si>
  <si>
    <t>3,94*0,5*0,1</t>
  </si>
  <si>
    <t>37</t>
  </si>
  <si>
    <t>631300000R</t>
  </si>
  <si>
    <t>Betonáž prostupů ve stropech 0,2*0,2 tl. 30cm</t>
  </si>
  <si>
    <t>ks</t>
  </si>
  <si>
    <t>64</t>
  </si>
  <si>
    <t>Výplně otvorů</t>
  </si>
  <si>
    <t>38</t>
  </si>
  <si>
    <t>642944121RT4</t>
  </si>
  <si>
    <t>Osazení ocelových zárubní dodatečně do 2,5 m2</t>
  </si>
  <si>
    <t>39</t>
  </si>
  <si>
    <t>642942213RT2</t>
  </si>
  <si>
    <t>Osazení zárubně do sádrokarton. příčky tl. 125 mm</t>
  </si>
  <si>
    <t>40</t>
  </si>
  <si>
    <t>640010R</t>
  </si>
  <si>
    <t>Oprava vnitřních špalet po vybouraných oknech</t>
  </si>
  <si>
    <t>Zednické zapravení po vybouraných výplní otvorů - penetrace, podhoz, hrubá omítka, štuk.
Položka obsahuje D+M: náklady na kompletní materiál, mzdy, stroje, režie.</t>
  </si>
  <si>
    <t>711</t>
  </si>
  <si>
    <t>Izolace proti vodě</t>
  </si>
  <si>
    <t>41</t>
  </si>
  <si>
    <t>711212901R00</t>
  </si>
  <si>
    <t>Provedení penetrace podkladů pod hydroizol.stěrky</t>
  </si>
  <si>
    <t>(3,1+3,1+7,53+3,1+4,63+1,81+1+2)*0,2</t>
  </si>
  <si>
    <t>42</t>
  </si>
  <si>
    <t>711212002RT6</t>
  </si>
  <si>
    <t>Hydroizolační povlak - nátěr nebo stěrka</t>
  </si>
  <si>
    <t>43</t>
  </si>
  <si>
    <t>711263601R00</t>
  </si>
  <si>
    <t>Těsnicí pás š.120 mm, spoj podlaha-stěna</t>
  </si>
  <si>
    <t>7,53+3,1+4,63+3,1+1,8+1,1+1,675+1,675+1,675+1,675+0,4+0,615+1,81+0,435+0,47+0,47+0,47+1,81+1,35+1,81</t>
  </si>
  <si>
    <t>44</t>
  </si>
  <si>
    <t>998711203R00</t>
  </si>
  <si>
    <t>Přesun hmot pro izolace proti vodě, výšky do 24 m</t>
  </si>
  <si>
    <t>%</t>
  </si>
  <si>
    <t>721</t>
  </si>
  <si>
    <t>Vnitřní kanalizace</t>
  </si>
  <si>
    <t>45</t>
  </si>
  <si>
    <t>721176102R00</t>
  </si>
  <si>
    <t>Potrubí HT připojovací D 40 x 1,8 mm</t>
  </si>
  <si>
    <t>46</t>
  </si>
  <si>
    <t>721176103R00</t>
  </si>
  <si>
    <t>Potrubí HT připojovací D 50 x 1,8 mm</t>
  </si>
  <si>
    <t>47</t>
  </si>
  <si>
    <t>721176105R00</t>
  </si>
  <si>
    <t>Potrubí HT připojovací D 110 x 2,7 mm</t>
  </si>
  <si>
    <t>48</t>
  </si>
  <si>
    <t>721170000R</t>
  </si>
  <si>
    <t>D+M Přechodu litina HT 110</t>
  </si>
  <si>
    <t>49</t>
  </si>
  <si>
    <t>998721202R00</t>
  </si>
  <si>
    <t>Přesun hmot pro vnitřní kanalizaci, výšky do 12 m</t>
  </si>
  <si>
    <t>722</t>
  </si>
  <si>
    <t>Vnitřní vodovod</t>
  </si>
  <si>
    <t>50</t>
  </si>
  <si>
    <t>722178711R00</t>
  </si>
  <si>
    <t>Potrubí vícevrst.vod. ,D 20x2,8 mm</t>
  </si>
  <si>
    <t>51</t>
  </si>
  <si>
    <t>722178712R00</t>
  </si>
  <si>
    <t>Potrubí vícevrst.vod.,D 25x3,5 mm</t>
  </si>
  <si>
    <t>52</t>
  </si>
  <si>
    <t>722178713R00</t>
  </si>
  <si>
    <t>Potrubí vícevrst.vod.,D 32x4,4 mm</t>
  </si>
  <si>
    <t>53</t>
  </si>
  <si>
    <t>722190403R00</t>
  </si>
  <si>
    <t>Vyvedení a upevnění výpustek DN 25</t>
  </si>
  <si>
    <t>54</t>
  </si>
  <si>
    <t>722202433R00</t>
  </si>
  <si>
    <t>Kohout kulový rozebíratelný PP-R D 25</t>
  </si>
  <si>
    <t>55</t>
  </si>
  <si>
    <t>722235641R00</t>
  </si>
  <si>
    <t>Klapka vod.zpětná vodorovná  DN 15</t>
  </si>
  <si>
    <t>56</t>
  </si>
  <si>
    <t>722235642R00</t>
  </si>
  <si>
    <t>Klapka vod.zpětná vodorovná DN 20</t>
  </si>
  <si>
    <t>57</t>
  </si>
  <si>
    <t>722236511R00</t>
  </si>
  <si>
    <t>Filtr vod.,vel.oka 0,4mm,vnitřní závity DN 15</t>
  </si>
  <si>
    <t>58</t>
  </si>
  <si>
    <t>722181211RT7</t>
  </si>
  <si>
    <t>Izolace návleková tl. stěny 6 mm</t>
  </si>
  <si>
    <t>59</t>
  </si>
  <si>
    <t>722181211RT8</t>
  </si>
  <si>
    <t>722181211RU1</t>
  </si>
  <si>
    <t>904      R02</t>
  </si>
  <si>
    <t>Hzs Odstavení přívodu vody pro soc. zázemí</t>
  </si>
  <si>
    <t>h</t>
  </si>
  <si>
    <t>722280106R00</t>
  </si>
  <si>
    <t>Tlaková zkouška vodovodního potrubí DN 32</t>
  </si>
  <si>
    <t>33+38+7</t>
  </si>
  <si>
    <t>892233111R00</t>
  </si>
  <si>
    <t>Desinfekce vodovodního potrubí DN 70</t>
  </si>
  <si>
    <t>72220001R</t>
  </si>
  <si>
    <t>Zednické práce spojené s úpravou stoupaček v 1. a 3. NP (vybourání - oprava/zapravení)</t>
  </si>
  <si>
    <t>- Nová dlažba
- Nový obklad
- Provedení prostupu
- Nutné vybourání
Položka obsahuje D+M: náklady na kompletní materiál, mzdy, stroje, režie.</t>
  </si>
  <si>
    <t>65</t>
  </si>
  <si>
    <t>998722202R00</t>
  </si>
  <si>
    <t>Přesun hmot pro vnitřní vodovod, výšky do 12 m</t>
  </si>
  <si>
    <t>725</t>
  </si>
  <si>
    <t>Zařizovací předměty</t>
  </si>
  <si>
    <t>66</t>
  </si>
  <si>
    <t>725290020RA0</t>
  </si>
  <si>
    <t>Demontáž umyvadla včetně baterie a konzol</t>
  </si>
  <si>
    <t>67</t>
  </si>
  <si>
    <t>725290010RA0</t>
  </si>
  <si>
    <t>Demontáž klozetu včetně splachovací nádrže</t>
  </si>
  <si>
    <t>68</t>
  </si>
  <si>
    <t>725823111RT1</t>
  </si>
  <si>
    <t>Baterie umyvadlová stoján. ruční, bez otvír.odpadu</t>
  </si>
  <si>
    <t>69</t>
  </si>
  <si>
    <t>725017162R00</t>
  </si>
  <si>
    <t>Umyvadlo na šrouby, 55 x 45 cm, bílé</t>
  </si>
  <si>
    <t>70</t>
  </si>
  <si>
    <t>725019101R00</t>
  </si>
  <si>
    <t>Výlevka stojící s plastovou mřížkou</t>
  </si>
  <si>
    <t>725530831R00</t>
  </si>
  <si>
    <t>Demontáž, zásobník elektrický průtokový "pro opětovné použití"</t>
  </si>
  <si>
    <t>725014131RT1</t>
  </si>
  <si>
    <t>Klozet závěsný + sedátko, bílý</t>
  </si>
  <si>
    <t>725829201RT1</t>
  </si>
  <si>
    <t>Montáž baterie umyv.a dřezové nástěnné chromové</t>
  </si>
  <si>
    <t>74</t>
  </si>
  <si>
    <t>725829501R00</t>
  </si>
  <si>
    <t>Montáž baterie nástěnné bidetových souprav</t>
  </si>
  <si>
    <t>75</t>
  </si>
  <si>
    <t>55145100</t>
  </si>
  <si>
    <t>Páková podomítková baterie s bidetovou sprškou, hadice délky 1,2m, provedení chrom</t>
  </si>
  <si>
    <t>738129411R00</t>
  </si>
  <si>
    <t>Nádoba expanzní S 8l</t>
  </si>
  <si>
    <t>725001</t>
  </si>
  <si>
    <t>D+M nástěnného dávkovače mýdla se zásobníkem z nerezové oceli viz. Prvek S3</t>
  </si>
  <si>
    <t>725002</t>
  </si>
  <si>
    <t>Demontáž a zpětná montáž vysoušeče rukou</t>
  </si>
  <si>
    <t>79</t>
  </si>
  <si>
    <t>725003</t>
  </si>
  <si>
    <t>D+M Zrcadla 1500x800 vsazeného do nerezového rámečku, zapuštěného do obkladu viz. Prvek S5</t>
  </si>
  <si>
    <t>80</t>
  </si>
  <si>
    <t>725004</t>
  </si>
  <si>
    <t>D+M Vestavěné jednodvéřové skříně 400x330x2070 na soklu viz. Prvek S6</t>
  </si>
  <si>
    <t>81</t>
  </si>
  <si>
    <t>725005</t>
  </si>
  <si>
    <t>Zpětná montáž ohřívače vody</t>
  </si>
  <si>
    <t>82</t>
  </si>
  <si>
    <t>998725203R00</t>
  </si>
  <si>
    <t>Přesun hmot pro zařizovací předměty, výšky do 24 m</t>
  </si>
  <si>
    <t>726</t>
  </si>
  <si>
    <t>Instalační prefabrikáty</t>
  </si>
  <si>
    <t>83</t>
  </si>
  <si>
    <t>726211123R00</t>
  </si>
  <si>
    <t>Modul-WC Kombifix Eco, UP320, h 108 cm</t>
  </si>
  <si>
    <t>84</t>
  </si>
  <si>
    <t>998726222R00</t>
  </si>
  <si>
    <t>Přesun hmot pro předstěnové systémy, výšky do 12 m</t>
  </si>
  <si>
    <t>728</t>
  </si>
  <si>
    <t>Vzduchotechnika</t>
  </si>
  <si>
    <t>85</t>
  </si>
  <si>
    <t>728111000R</t>
  </si>
  <si>
    <t>Vzduchotechnika - viz. přiložený rozpočet</t>
  </si>
  <si>
    <t>732</t>
  </si>
  <si>
    <t>Strojovny</t>
  </si>
  <si>
    <t>86</t>
  </si>
  <si>
    <t>732421313R00</t>
  </si>
  <si>
    <t>Čerpadlo oběhové</t>
  </si>
  <si>
    <t>87</t>
  </si>
  <si>
    <t>998732202R00</t>
  </si>
  <si>
    <t>Přesun hmot pro strojovny, výšky do 12 m</t>
  </si>
  <si>
    <t>733</t>
  </si>
  <si>
    <t>Rozvod potrubí</t>
  </si>
  <si>
    <t>88</t>
  </si>
  <si>
    <t>733163102R00</t>
  </si>
  <si>
    <t>Potrubí z měděných trubek vytápění D 15 x 1,0 mm</t>
  </si>
  <si>
    <t>89</t>
  </si>
  <si>
    <t>733163103R00</t>
  </si>
  <si>
    <t>Potrubí z měděných trubek vytápění D 18 x 1,0 mm</t>
  </si>
  <si>
    <t>90</t>
  </si>
  <si>
    <t>733163104R00</t>
  </si>
  <si>
    <t>Potrubí z měděných trubek vytápění D 22 x 1,0 mm</t>
  </si>
  <si>
    <t>91</t>
  </si>
  <si>
    <t>733161903R00</t>
  </si>
  <si>
    <t>Propojení měděného potrubí vytápění D 18 mm</t>
  </si>
  <si>
    <t>92</t>
  </si>
  <si>
    <t>733161902R00</t>
  </si>
  <si>
    <t>Propojení měděného potrubí vytápění D 15 mm</t>
  </si>
  <si>
    <t>93</t>
  </si>
  <si>
    <t>722181213RT7</t>
  </si>
  <si>
    <t>Izolace návleková tl. stěny 13 mm</t>
  </si>
  <si>
    <t>94</t>
  </si>
  <si>
    <t>722181213RT6</t>
  </si>
  <si>
    <t>95</t>
  </si>
  <si>
    <t>722181213RT5</t>
  </si>
  <si>
    <t>96</t>
  </si>
  <si>
    <t>733190106R00</t>
  </si>
  <si>
    <t>Tlaková zkouška potrubí  DN 32</t>
  </si>
  <si>
    <t>97</t>
  </si>
  <si>
    <t>998733203R00</t>
  </si>
  <si>
    <t>Přesun hmot pro rozvody potrubí, výšky do 24 m</t>
  </si>
  <si>
    <t>734</t>
  </si>
  <si>
    <t>Armatury</t>
  </si>
  <si>
    <t>98</t>
  </si>
  <si>
    <t>734263132R00</t>
  </si>
  <si>
    <t>Šroubení regulační, přímé, DN 15</t>
  </si>
  <si>
    <t>99</t>
  </si>
  <si>
    <t>734221672RT2</t>
  </si>
  <si>
    <t>Hlavice ovládání ventilů termostat. RD 80 R</t>
  </si>
  <si>
    <t>100</t>
  </si>
  <si>
    <t>734295112R00</t>
  </si>
  <si>
    <t>Směšovací armatury trojcestné, DN 25</t>
  </si>
  <si>
    <t>101</t>
  </si>
  <si>
    <t>734295001R</t>
  </si>
  <si>
    <t>Automatický termostatický regulační ventil do rozvodu cirkulace DN 15 vč. tepelné izolace</t>
  </si>
  <si>
    <t>102</t>
  </si>
  <si>
    <t>734255125R00</t>
  </si>
  <si>
    <t>Ventil pojistný, DN 20 x 6,0 bar</t>
  </si>
  <si>
    <t>103</t>
  </si>
  <si>
    <t>734119111R00</t>
  </si>
  <si>
    <t>Montáž uzavíracích ventilů DN 15</t>
  </si>
  <si>
    <t>104</t>
  </si>
  <si>
    <t>734119112R00</t>
  </si>
  <si>
    <t>Montáž uzavíracích ventilů DN 25</t>
  </si>
  <si>
    <t>105</t>
  </si>
  <si>
    <t>230330311R00</t>
  </si>
  <si>
    <t>Kontrolní manometr UR 51(č.v.33.51.00)</t>
  </si>
  <si>
    <t>106</t>
  </si>
  <si>
    <t>998734203R00</t>
  </si>
  <si>
    <t>Přesun hmot pro armatury, výšky do 24 m</t>
  </si>
  <si>
    <t>735</t>
  </si>
  <si>
    <t>Otopná tělesa</t>
  </si>
  <si>
    <t>107</t>
  </si>
  <si>
    <t>735121810R00</t>
  </si>
  <si>
    <t>Demontáž otopných těles ocelových článkových</t>
  </si>
  <si>
    <t>108</t>
  </si>
  <si>
    <t>735157162R00</t>
  </si>
  <si>
    <t>Otopná těl.panel. Ventil Kompakt 10  600/ 600</t>
  </si>
  <si>
    <t>109</t>
  </si>
  <si>
    <t>735157286R00</t>
  </si>
  <si>
    <t>Otopná těl.panel. Ventil Kompakt 11  900/1000</t>
  </si>
  <si>
    <t>110</t>
  </si>
  <si>
    <t>735191905R00</t>
  </si>
  <si>
    <t>Oprava - odvzdušnění otopných těles</t>
  </si>
  <si>
    <t>111</t>
  </si>
  <si>
    <t>Hzs-Odstavení příslušného stoupacího potrubí ÚT</t>
  </si>
  <si>
    <t>112</t>
  </si>
  <si>
    <t>Hzs-zaregulování otopné soustavy + zkoušky dle ČSN</t>
  </si>
  <si>
    <t>113</t>
  </si>
  <si>
    <t>998735203R00</t>
  </si>
  <si>
    <t>Přesun hmot pro otopná tělesa, výšky do 24 m</t>
  </si>
  <si>
    <t>764</t>
  </si>
  <si>
    <t>Konstrukce klempířské</t>
  </si>
  <si>
    <t>114</t>
  </si>
  <si>
    <t>764816124RT3</t>
  </si>
  <si>
    <t>Oplechování parapetů, lakovaný Pz plech, rš 240 mm</t>
  </si>
  <si>
    <t>0,89+0,93+0,88+1,24</t>
  </si>
  <si>
    <t>115</t>
  </si>
  <si>
    <t>764900050RA0</t>
  </si>
  <si>
    <t>Demontáž oplechování parapetů</t>
  </si>
  <si>
    <t>116</t>
  </si>
  <si>
    <t>998764202R00</t>
  </si>
  <si>
    <t>Přesun hmot pro klempířské konstr., výšky do 12 m</t>
  </si>
  <si>
    <t>766</t>
  </si>
  <si>
    <t>Konstrukce truhlářské</t>
  </si>
  <si>
    <t>117</t>
  </si>
  <si>
    <t>766661112R00</t>
  </si>
  <si>
    <t>Montáž dveří do zárubně,otevíravých 1kř.do 0,8 m</t>
  </si>
  <si>
    <t>118</t>
  </si>
  <si>
    <t>611601202</t>
  </si>
  <si>
    <t>Dveře vnitřní CPL 0,2 KLASIK plné 1kř. 70x197 cm - viz. PD prvek 1T</t>
  </si>
  <si>
    <t>119</t>
  </si>
  <si>
    <t>611601203</t>
  </si>
  <si>
    <t>Dveře vnitřní CPL 0,2 KLASIK plné 1kř. 80x197 cm - viz. PD prvek 2T</t>
  </si>
  <si>
    <t>120</t>
  </si>
  <si>
    <t>60004</t>
  </si>
  <si>
    <t>D+M Sanitární stěny/WC Kabiny v=2010mm, 150mm od podlahy viz. PD 3T</t>
  </si>
  <si>
    <t>121</t>
  </si>
  <si>
    <t>64001</t>
  </si>
  <si>
    <t>D+M Dřevěné eurookno do otvoru 900x1350 viz. Prvek 4T</t>
  </si>
  <si>
    <t>122</t>
  </si>
  <si>
    <t>64002</t>
  </si>
  <si>
    <t>D+M Dřevěné eurookno do otvoru 1480x1200 viz. Prvek 5T</t>
  </si>
  <si>
    <t>123</t>
  </si>
  <si>
    <t>64003</t>
  </si>
  <si>
    <t>Kompletní repase stávajícího okna 2520x890 prvek viz. PD 6T</t>
  </si>
  <si>
    <t>124</t>
  </si>
  <si>
    <t>998766202R00</t>
  </si>
  <si>
    <t>Přesun hmot pro truhlářské konstr., výšky do 12 m</t>
  </si>
  <si>
    <t>771</t>
  </si>
  <si>
    <t>Podlahy z dlaždic</t>
  </si>
  <si>
    <t>125</t>
  </si>
  <si>
    <t>771570014RAI</t>
  </si>
  <si>
    <t>Dlažba z dlaždic keramických 45 x 45 cm</t>
  </si>
  <si>
    <t>126</t>
  </si>
  <si>
    <t>771579793R00</t>
  </si>
  <si>
    <t>Příplatek za spárovací hmotu - plošně,keram.dlažba</t>
  </si>
  <si>
    <t>127</t>
  </si>
  <si>
    <t>771578011R00</t>
  </si>
  <si>
    <t>Spára podlaha - stěna, silikonem</t>
  </si>
  <si>
    <t>(7,53+3,1+4,63+3,1+1,8+1,1+1,675+1,675+1,675+1,675+0,4+0,615+1,81)</t>
  </si>
  <si>
    <t>(0,435+0,47+0,47+0,47+1,81+1,35+1,81)</t>
  </si>
  <si>
    <t>128</t>
  </si>
  <si>
    <t>771579791R00</t>
  </si>
  <si>
    <t>Příplatek za plochu podlah keram. do 5 m2 jednotl.</t>
  </si>
  <si>
    <t>129</t>
  </si>
  <si>
    <t>771101210R00</t>
  </si>
  <si>
    <t>Penetrace podkladu pod dlažby</t>
  </si>
  <si>
    <t>130</t>
  </si>
  <si>
    <t>597642032</t>
  </si>
  <si>
    <t>Dlažba Keramická Rektifikovaná 450x450x10 mm</t>
  </si>
  <si>
    <t>23,343*1,1</t>
  </si>
  <si>
    <t>131</t>
  </si>
  <si>
    <t>771101101R00</t>
  </si>
  <si>
    <t>Vysávání podlah prům.vysavačem pro pokládku dlažby</t>
  </si>
  <si>
    <t>23,343</t>
  </si>
  <si>
    <t>132</t>
  </si>
  <si>
    <t>998771202R00</t>
  </si>
  <si>
    <t>Přesun hmot pro podlahy z dlaždic, výšky do 12 m</t>
  </si>
  <si>
    <t>781</t>
  </si>
  <si>
    <t>Obklady (keramické)</t>
  </si>
  <si>
    <t>133</t>
  </si>
  <si>
    <t>781900010RA0</t>
  </si>
  <si>
    <t>Odsekání obkladů vnitřních</t>
  </si>
  <si>
    <t>1,81*2,19</t>
  </si>
  <si>
    <t>3,1*2,19*2</t>
  </si>
  <si>
    <t>1,14*2,19*2</t>
  </si>
  <si>
    <t>1,2*2,19*2</t>
  </si>
  <si>
    <t>-0,6*1,97*8</t>
  </si>
  <si>
    <t>(7,53+3,1+4,52+2,09+0,44+0,72+0,15+0,65+1,81+0,72+0,65+1,81+0,72+1,81+1,25+1,23+1,19)*2,2</t>
  </si>
  <si>
    <t>-0,8*1,97*2</t>
  </si>
  <si>
    <t>134</t>
  </si>
  <si>
    <t>781485112R00</t>
  </si>
  <si>
    <t>Obklad vnitř.mozaika keramická do 20x20mm, tmel</t>
  </si>
  <si>
    <t>(7,53+3,1+4,63+3,1+1,8+1,1+1,675+1,675+1,675+1,675+0,4+0,615+1,81)*0,15</t>
  </si>
  <si>
    <t>(0,435+0,47+0,47+0,47+1,81+1,35+1,81)*0,15</t>
  </si>
  <si>
    <t>135</t>
  </si>
  <si>
    <t>781475120RU9</t>
  </si>
  <si>
    <t>Obklad vnitřní stěn keramický, do tmele, 20x60 cm</t>
  </si>
  <si>
    <t>(7,53+3,1+4,63+3,1+1,8+1,1+1,675+1,675+1,675+1,675+0,4+0,615+1,81)*2</t>
  </si>
  <si>
    <t>(0,435+0,47+0,47+0,47+1,81+1,35+1,81)*2</t>
  </si>
  <si>
    <t>136</t>
  </si>
  <si>
    <t>781101210R00</t>
  </si>
  <si>
    <t>Penetrace podkladu pod obklady</t>
  </si>
  <si>
    <t>137</t>
  </si>
  <si>
    <t>781479711R00</t>
  </si>
  <si>
    <t>Příplatek k obkladu stěn keram.,za plochu do 10 m2</t>
  </si>
  <si>
    <t>138</t>
  </si>
  <si>
    <t>781419706R00</t>
  </si>
  <si>
    <t>Příplatek za spárovací vodotěsnou hmotu - plošně</t>
  </si>
  <si>
    <t>139</t>
  </si>
  <si>
    <t>781491001RT1</t>
  </si>
  <si>
    <t>Montáž lišt k obkladům</t>
  </si>
  <si>
    <t>28*2,1</t>
  </si>
  <si>
    <t>140</t>
  </si>
  <si>
    <t>781497111RS3</t>
  </si>
  <si>
    <t>Lišta hliníková ukončovacích k obkladům</t>
  </si>
  <si>
    <t>141</t>
  </si>
  <si>
    <t>781670000R</t>
  </si>
  <si>
    <t>Obklad parapetu keramický šířka 50 cm</t>
  </si>
  <si>
    <t>0,93+0,88+1,24+0,98</t>
  </si>
  <si>
    <t>142</t>
  </si>
  <si>
    <t>597813773</t>
  </si>
  <si>
    <t>Obkládačka 20x60 tmavě šedá mat</t>
  </si>
  <si>
    <t>(7,53+3,1+4,63+3,1+1,8+1,1+1,675+1,675+1,675+1,675+0,4+0,615+1,81)*1*1,1</t>
  </si>
  <si>
    <t>(0,435+0,47+0,47+0,47+1,81+1,35+1,81)*1*1,1</t>
  </si>
  <si>
    <t>4,03*0,2*1,1</t>
  </si>
  <si>
    <t>143</t>
  </si>
  <si>
    <t>144</t>
  </si>
  <si>
    <t>59782122</t>
  </si>
  <si>
    <t>Mozaika keramická 50 x 50 mm, set 300x300mm dle výběru investora</t>
  </si>
  <si>
    <t>5,64*1,2</t>
  </si>
  <si>
    <t>145</t>
  </si>
  <si>
    <t>597800001</t>
  </si>
  <si>
    <t>Řezání otvorů v obkladech vodním paprskem viz. PD</t>
  </si>
  <si>
    <t>146</t>
  </si>
  <si>
    <t>781001R</t>
  </si>
  <si>
    <t>Ukončení horní hrany obkladu náběhem z malty na zdivo</t>
  </si>
  <si>
    <t>147</t>
  </si>
  <si>
    <t>998781202R00</t>
  </si>
  <si>
    <t>Přesun hmot pro obklady keramické, výšky do 12 m</t>
  </si>
  <si>
    <t>783</t>
  </si>
  <si>
    <t>Nátěry</t>
  </si>
  <si>
    <t>148</t>
  </si>
  <si>
    <t>78300000R</t>
  </si>
  <si>
    <t>Nátěr zárubní viz. TZ 1Z+2E</t>
  </si>
  <si>
    <t>784</t>
  </si>
  <si>
    <t>Malby</t>
  </si>
  <si>
    <t>149</t>
  </si>
  <si>
    <t>784195212R00</t>
  </si>
  <si>
    <t>Malba, bílá, bez penetrace, 3 x</t>
  </si>
  <si>
    <t>111,7</t>
  </si>
  <si>
    <t>150</t>
  </si>
  <si>
    <t>784191201R00</t>
  </si>
  <si>
    <t>Penetrace podkladu hloubková 1x</t>
  </si>
  <si>
    <t>Lešení a stavební výtahy</t>
  </si>
  <si>
    <t>151</t>
  </si>
  <si>
    <t>941955004R00</t>
  </si>
  <si>
    <t>Lešení lehké pomocné, výška podlahy do 3,5 m</t>
  </si>
  <si>
    <t>7,53*3,1+4,63*3,1+3*1</t>
  </si>
  <si>
    <t>Různé dokončovací konstrukce a práce na pozemních stavbách</t>
  </si>
  <si>
    <t>152</t>
  </si>
  <si>
    <t>952901111R00</t>
  </si>
  <si>
    <t>Vyčištění budov o výšce podlaží do 4 m</t>
  </si>
  <si>
    <t>Bourání konstrukcí</t>
  </si>
  <si>
    <t>153</t>
  </si>
  <si>
    <t>965081713RT1</t>
  </si>
  <si>
    <t>Bourání dlažeb keramických tl.10 mm, nad 1 m2</t>
  </si>
  <si>
    <t>154</t>
  </si>
  <si>
    <t>968072455R00</t>
  </si>
  <si>
    <t>Vybourání kovových dveřních zárubní pl. do 2 m2</t>
  </si>
  <si>
    <t>0,8*1,97*2+0,6*1,97*4</t>
  </si>
  <si>
    <t>155</t>
  </si>
  <si>
    <t>965043441RT1</t>
  </si>
  <si>
    <t>Bourání podkladů bet., potěr tl. 15 cm, nad 4 m2</t>
  </si>
  <si>
    <t>156</t>
  </si>
  <si>
    <t>969011121R00</t>
  </si>
  <si>
    <t>Vybourání vodovod., plynového vedení DN do 52 mm</t>
  </si>
  <si>
    <t>157</t>
  </si>
  <si>
    <t>969021111R00</t>
  </si>
  <si>
    <t>Vybourání kanalizačního potrubí DN do 100 mm</t>
  </si>
  <si>
    <t>158</t>
  </si>
  <si>
    <t>962031116R00</t>
  </si>
  <si>
    <t>Bourání příček z cihel pálených plných tl. do 140 mm</t>
  </si>
  <si>
    <t>3,1*2,19</t>
  </si>
  <si>
    <t>1,14*2,19</t>
  </si>
  <si>
    <t>1,2*2,19</t>
  </si>
  <si>
    <t>-0,6*1,97*4</t>
  </si>
  <si>
    <t>159</t>
  </si>
  <si>
    <t>968061112R00</t>
  </si>
  <si>
    <t>Vyvěšení dřevěných okenních křídel pl. do 1,5 m2</t>
  </si>
  <si>
    <t>160</t>
  </si>
  <si>
    <t>968062245R00</t>
  </si>
  <si>
    <t>Vybourání dřevěných rámů oken jednoduch. pl. 2 m2</t>
  </si>
  <si>
    <t>0,92*1,3*2+1,24*1,58</t>
  </si>
  <si>
    <t>161</t>
  </si>
  <si>
    <t>968061125R00</t>
  </si>
  <si>
    <t>Vyvěšení dřevěných dveřních křídel pl. do 2 m2</t>
  </si>
  <si>
    <t>Prorážení otvorů a ostatní bourací práce</t>
  </si>
  <si>
    <t>162</t>
  </si>
  <si>
    <t>974031145R00</t>
  </si>
  <si>
    <t>Vysekání rýh ve zdi cihelné 7 x 20 cm</t>
  </si>
  <si>
    <t>163</t>
  </si>
  <si>
    <t>978013191R00</t>
  </si>
  <si>
    <t>Otlučení omítek vnitřních stěn v rozsahu do 100 %</t>
  </si>
  <si>
    <t>164</t>
  </si>
  <si>
    <t>970031200R00</t>
  </si>
  <si>
    <t>Vrtání jádrové do zdiva cihelného do D 200 mm</t>
  </si>
  <si>
    <t>165</t>
  </si>
  <si>
    <t>973031813R00</t>
  </si>
  <si>
    <t>Vysekání kapes pro zavázání příček tl. 15 cm</t>
  </si>
  <si>
    <t>2,1*2</t>
  </si>
  <si>
    <t>H01</t>
  </si>
  <si>
    <t>Budovy občanské výstavby</t>
  </si>
  <si>
    <t>166</t>
  </si>
  <si>
    <t>998011003R00</t>
  </si>
  <si>
    <t>Přesun hmot pro budovy zděné výšky do 24 m</t>
  </si>
  <si>
    <t>t</t>
  </si>
  <si>
    <t>M21</t>
  </si>
  <si>
    <t>Elektromontáže</t>
  </si>
  <si>
    <t>167</t>
  </si>
  <si>
    <t>Elektroinstalace - viz přiložený rozpočet</t>
  </si>
  <si>
    <t>S</t>
  </si>
  <si>
    <t>Přesuny sutí</t>
  </si>
  <si>
    <t>168</t>
  </si>
  <si>
    <t>979087312R00</t>
  </si>
  <si>
    <t>Vodorovné přemístění vyb. hmot nošením do 10 m</t>
  </si>
  <si>
    <t>169</t>
  </si>
  <si>
    <t>979087391R00</t>
  </si>
  <si>
    <t>Příplatek za nošení suti každých dalších 10 m</t>
  </si>
  <si>
    <t>170</t>
  </si>
  <si>
    <t>979011211R00</t>
  </si>
  <si>
    <t>Svislá doprava suti a vybour. hmot za 2.NP nošením</t>
  </si>
  <si>
    <t>171</t>
  </si>
  <si>
    <t>979094211R00</t>
  </si>
  <si>
    <t>Nakládání nebo překládání vybourané suti</t>
  </si>
  <si>
    <t>172</t>
  </si>
  <si>
    <t>979083117R00</t>
  </si>
  <si>
    <t>Vodorovné přemístění suti na skládku do 6000 m</t>
  </si>
  <si>
    <t>173</t>
  </si>
  <si>
    <t>979091221R00</t>
  </si>
  <si>
    <t>Vodorovné přemístění suti za každý další 1 km</t>
  </si>
  <si>
    <t>28,6272*10</t>
  </si>
  <si>
    <t>174</t>
  </si>
  <si>
    <t>979990001R00</t>
  </si>
  <si>
    <t>Poplatek za skládku stavební suti</t>
  </si>
  <si>
    <t xml:space="preserve">Skládka Holasovice
</t>
  </si>
  <si>
    <t>175</t>
  </si>
  <si>
    <t>310100001R</t>
  </si>
  <si>
    <t>Zazdívka otvorů ve zdivu 20x10cm tl. 75cm včetně opravy omítek</t>
  </si>
  <si>
    <t>176</t>
  </si>
  <si>
    <t>713</t>
  </si>
  <si>
    <t>Izolace tepelné</t>
  </si>
  <si>
    <t>177</t>
  </si>
  <si>
    <t>713400821R00</t>
  </si>
  <si>
    <t>Odstranění izolačních pásů  potrubí</t>
  </si>
  <si>
    <t>178</t>
  </si>
  <si>
    <t>733120826R00</t>
  </si>
  <si>
    <t>Demontáž potrubí z hladkých trubek D 89</t>
  </si>
  <si>
    <t>179</t>
  </si>
  <si>
    <t>733120001R</t>
  </si>
  <si>
    <t>Demontáž a úprava závěsů a konzol</t>
  </si>
  <si>
    <t>180</t>
  </si>
  <si>
    <t>722181244RY7</t>
  </si>
  <si>
    <t>Izolace návleková termoizolační trubice tl. stěny 20 mm</t>
  </si>
  <si>
    <t>181</t>
  </si>
  <si>
    <t>784011222RT2</t>
  </si>
  <si>
    <t>Zakrytí podlah, včetně odstranění</t>
  </si>
  <si>
    <t>Hodinové zúčtovací sazby (HZS)</t>
  </si>
  <si>
    <t>182</t>
  </si>
  <si>
    <t>909      R00</t>
  </si>
  <si>
    <t>Hzs-nezmeritelne stavebni prace</t>
  </si>
  <si>
    <t>183</t>
  </si>
  <si>
    <t>184</t>
  </si>
  <si>
    <t>185</t>
  </si>
  <si>
    <t>186</t>
  </si>
  <si>
    <t>187</t>
  </si>
  <si>
    <t>188</t>
  </si>
  <si>
    <t>979083114R00</t>
  </si>
  <si>
    <t>Vodorovné přemístění suti na skládku do 3000 m</t>
  </si>
  <si>
    <t>Krycí list slepého rozpočtu</t>
  </si>
  <si>
    <t>IČO/DIČ:</t>
  </si>
  <si>
    <t>00296139/CZ00296139</t>
  </si>
  <si>
    <t>73085022/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</si>
  <si>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</si>
  <si>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</si>
  <si>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</si>
  <si>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</si>
  <si>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</si>
  <si>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</si>
  <si>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</si>
  <si>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</si>
  <si>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</si>
  <si>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</si>
  <si>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</si>
  <si>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</si>
  <si>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</si>
  <si>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</si>
  <si>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</si>
  <si>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</si>
  <si>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</si>
  <si>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</si>
  <si>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</si>
  <si>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</si>
  <si>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</si>
  <si>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</si>
  <si>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</si>
  <si>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</si>
  <si>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</si>
  <si>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</si>
  <si>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</si>
  <si>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</si>
  <si>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</si>
  <si>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</si>
  <si>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</si>
  <si>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</si>
  <si>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</si>
  <si>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</si>
  <si>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</si>
  <si>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</si>
  <si>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</si>
  <si>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</si>
  <si>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</si>
  <si>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</si>
  <si>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</si>
  <si>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</si>
  <si>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</si>
  <si>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</si>
  <si>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</si>
  <si>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</si>
  <si>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</si>
  <si>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</si>
  <si>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</si>
  <si>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</si>
  <si>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</si>
  <si>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</si>
  <si>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</si>
  <si>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</si>
  <si>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</si>
  <si>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Stavební úpravy hygienického zázemí pedagogických pracovníků ve 2NP, ZŠ Smetanův okruh 24/4, Krnov</t>
  </si>
  <si>
    <t>Město Krnov</t>
  </si>
  <si>
    <t>Radovan Zatloukal</t>
  </si>
  <si>
    <t>k.ú. Krnov- Horní Předměstí [674737]</t>
  </si>
  <si>
    <t> </t>
  </si>
  <si>
    <t>01.03.2024</t>
  </si>
  <si>
    <t>Kamil Beck</t>
  </si>
  <si>
    <t>Cena/MJ</t>
  </si>
  <si>
    <t>ISWORK</t>
  </si>
  <si>
    <t>GROUPCODE</t>
  </si>
  <si>
    <t>VATTAX</t>
  </si>
  <si>
    <t>Rozměry</t>
  </si>
  <si>
    <t>(Kč)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</si>
  <si>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</si>
  <si>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</si>
  <si>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</si>
  <si>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</si>
  <si>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</si>
  <si>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</si>
  <si>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</si>
  <si>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</si>
  <si>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</si>
  <si>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</si>
  <si>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</si>
  <si>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</si>
  <si>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100VD_</t>
  </si>
  <si>
    <t>01_1_</t>
  </si>
  <si>
    <t>01_</t>
  </si>
  <si>
    <t>31_</t>
  </si>
  <si>
    <t>02_3_</t>
  </si>
  <si>
    <t>02_</t>
  </si>
  <si>
    <t>Varianta:</t>
  </si>
  <si>
    <t>vybourání rýhy, dodávka překladu I č. 140 dl. 2120</t>
  </si>
  <si>
    <t>34_</t>
  </si>
  <si>
    <t>desky standard impreg.tl. 12,5 mm,minerál tl. 10 cm, stojiny max. 400mm</t>
  </si>
  <si>
    <t>včerně výplně PU pěnou</t>
  </si>
  <si>
    <t>s použitím suché maltové směsi</t>
  </si>
  <si>
    <t>desky standard impreg. tl. 12,5 mm, bez izolace</t>
  </si>
  <si>
    <t>60_</t>
  </si>
  <si>
    <t>02_6_</t>
  </si>
  <si>
    <t>61_</t>
  </si>
  <si>
    <t>včetně výztužné sítě a stěrkového tmelu</t>
  </si>
  <si>
    <t>62_</t>
  </si>
  <si>
    <t>63_</t>
  </si>
  <si>
    <t>samonivelační polymercementová stěrka20 MPa</t>
  </si>
  <si>
    <t>včetně bednění a podstojkování</t>
  </si>
  <si>
    <t>64_</t>
  </si>
  <si>
    <t>včetně dodávky zárubně  80x197x11 cm</t>
  </si>
  <si>
    <t>včetně dodávky zárubně  700/125</t>
  </si>
  <si>
    <t>711_</t>
  </si>
  <si>
    <t>02_71_</t>
  </si>
  <si>
    <t>proti vlhkosti a tlak.vodě</t>
  </si>
  <si>
    <t>721_</t>
  </si>
  <si>
    <t>02_72_</t>
  </si>
  <si>
    <t>722_</t>
  </si>
  <si>
    <t>vnitřní průměr 22 mm</t>
  </si>
  <si>
    <t>vnitřní průměr 25 mm</t>
  </si>
  <si>
    <t>vnitřní průměr 32 mm</t>
  </si>
  <si>
    <t>vypuštění vody z rozvodů, které budou demontovány</t>
  </si>
  <si>
    <t>725_</t>
  </si>
  <si>
    <t>standardní</t>
  </si>
  <si>
    <t>včetně sedátka v bílé barvě</t>
  </si>
  <si>
    <t>včetně dodávky pákové baterie</t>
  </si>
  <si>
    <t>726_</t>
  </si>
  <si>
    <t>728_</t>
  </si>
  <si>
    <t>732_</t>
  </si>
  <si>
    <t>02_73_</t>
  </si>
  <si>
    <t>733_</t>
  </si>
  <si>
    <t>vnitřní průměr 18 mm</t>
  </si>
  <si>
    <t>vnitřní průměr 15 mm</t>
  </si>
  <si>
    <t>734_</t>
  </si>
  <si>
    <t>Herz termostatická hlavice 1 7260 06</t>
  </si>
  <si>
    <t>735_</t>
  </si>
  <si>
    <t>vypuštění nezbytného množství topné vody, rozpojení potrubí, propláchnutí, napuštění, odvzdušnění upraveného topného systému</t>
  </si>
  <si>
    <t>Topná zkouška</t>
  </si>
  <si>
    <t>764_</t>
  </si>
  <si>
    <t>02_76_</t>
  </si>
  <si>
    <t>lepení na nízkoexpanzní pěnu</t>
  </si>
  <si>
    <t>766_</t>
  </si>
  <si>
    <t>771_</t>
  </si>
  <si>
    <t>02_77_</t>
  </si>
  <si>
    <t>do tmele, dlažba ve specifikaci</t>
  </si>
  <si>
    <t>781_</t>
  </si>
  <si>
    <t>02_78_</t>
  </si>
  <si>
    <t>rohových, koutových i dilatačních</t>
  </si>
  <si>
    <t>profil RB, pro tloušťku obkladu 10 mm</t>
  </si>
  <si>
    <t>783_</t>
  </si>
  <si>
    <t>784_</t>
  </si>
  <si>
    <t>94_</t>
  </si>
  <si>
    <t>02_9_</t>
  </si>
  <si>
    <t>95_</t>
  </si>
  <si>
    <t>96_</t>
  </si>
  <si>
    <t>ručně, dlaždice keramické</t>
  </si>
  <si>
    <t>ručně mazanina tl. 10 - 15 cm s potěrem</t>
  </si>
  <si>
    <t>97_</t>
  </si>
  <si>
    <t>H01_</t>
  </si>
  <si>
    <t>M21_</t>
  </si>
  <si>
    <t>S_</t>
  </si>
  <si>
    <t>03_3_</t>
  </si>
  <si>
    <t>03_</t>
  </si>
  <si>
    <t>03_6_</t>
  </si>
  <si>
    <t>713_</t>
  </si>
  <si>
    <t>03_71_</t>
  </si>
  <si>
    <t>03_73_</t>
  </si>
  <si>
    <t>vnitřní průměr 89 mm</t>
  </si>
  <si>
    <t>03_78_</t>
  </si>
  <si>
    <t>včetně papírové lepenky</t>
  </si>
  <si>
    <t>90_</t>
  </si>
  <si>
    <t>03_9_</t>
  </si>
  <si>
    <t>oprava nátěru konzol, požární hlídka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</si>
</sst>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i/>
      <sz val="8"/>
      <color rgb="FF000000"/>
      <name val="Arial"/>
      <charset val="238"/>
    </font>
    <font>
      <i/>
      <sz val="9"/>
      <color rgb="FF000000"/>
      <name val="Arial"/>
      <charset val="238"/>
    </font>
    <font>
      <i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FF"/>
        <bgColor rgb="FFCCFFFF"/>
      </patternFill>
    </fill>
  </fills>
  <borders count="8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4" fontId="2" fillId="0" borderId="24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4" fontId="2" fillId="0" borderId="28" xfId="0" applyNumberFormat="1" applyFont="1" applyBorder="1" applyAlignment="1">
      <alignment horizontal="right" vertical="center"/>
    </xf>
    <xf numFmtId="4" fontId="3" fillId="0" borderId="29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right" vertical="center"/>
    </xf>
    <xf numFmtId="0" fontId="3" fillId="2" borderId="24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0" fillId="0" borderId="5" xfId="0" applyBorder="1"/>
    <xf numFmtId="0" fontId="5" fillId="0" borderId="0" xfId="0" applyFont="1" applyAlignment="1">
      <alignment horizontal="right" vertical="center"/>
    </xf>
    <xf numFmtId="0" fontId="0" fillId="0" borderId="6" xfId="0" applyBorder="1"/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/>
    </xf>
    <xf numFmtId="0" fontId="8" fillId="2" borderId="37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10" fillId="0" borderId="41" xfId="0" applyFont="1" applyBorder="1" applyAlignment="1">
      <alignment horizontal="left" vertical="center"/>
    </xf>
    <xf numFmtId="0" fontId="11" fillId="0" borderId="42" xfId="0" applyFont="1" applyBorder="1" applyAlignment="1">
      <alignment horizontal="left" vertical="center"/>
    </xf>
    <xf numFmtId="4" fontId="11" fillId="0" borderId="42" xfId="0" applyNumberFormat="1" applyFont="1" applyBorder="1" applyAlignment="1">
      <alignment horizontal="right" vertical="center"/>
    </xf>
    <xf numFmtId="0" fontId="11" fillId="0" borderId="42" xfId="0" applyFont="1" applyBorder="1" applyAlignment="1">
      <alignment horizontal="right" vertical="center"/>
    </xf>
    <xf numFmtId="0" fontId="10" fillId="0" borderId="45" xfId="0" applyFont="1" applyBorder="1" applyAlignment="1">
      <alignment horizontal="left" vertical="center"/>
    </xf>
    <xf numFmtId="4" fontId="11" fillId="0" borderId="49" xfId="0" applyNumberFormat="1" applyFont="1" applyBorder="1" applyAlignment="1">
      <alignment horizontal="right" vertical="center"/>
    </xf>
    <xf numFmtId="0" fontId="11" fillId="0" borderId="49" xfId="0" applyFont="1" applyBorder="1" applyAlignment="1">
      <alignment horizontal="right" vertical="center"/>
    </xf>
    <xf numFmtId="4" fontId="11" fillId="0" borderId="40" xfId="0" applyNumberFormat="1" applyFont="1" applyBorder="1" applyAlignment="1">
      <alignment horizontal="right" vertical="center"/>
    </xf>
    <xf numFmtId="4" fontId="11" fillId="0" borderId="52" xfId="0" applyNumberFormat="1" applyFont="1" applyBorder="1" applyAlignment="1">
      <alignment horizontal="right" vertical="center"/>
    </xf>
    <xf numFmtId="4" fontId="10" fillId="2" borderId="39" xfId="0" applyNumberFormat="1" applyFont="1" applyFill="1" applyBorder="1" applyAlignment="1">
      <alignment horizontal="right" vertical="center"/>
    </xf>
    <xf numFmtId="4" fontId="10" fillId="2" borderId="44" xfId="0" applyNumberFormat="1" applyFont="1" applyFill="1" applyBorder="1" applyAlignment="1">
      <alignment horizontal="right" vertical="center"/>
    </xf>
    <xf numFmtId="0" fontId="4" fillId="0" borderId="23" xfId="0" applyFont="1" applyBorder="1" applyAlignment="1">
      <alignment horizontal="left" vertical="center"/>
    </xf>
    <xf numFmtId="0" fontId="3" fillId="0" borderId="67" xfId="0" applyFont="1" applyBorder="1" applyAlignment="1">
      <alignment horizontal="right" vertical="center"/>
    </xf>
    <xf numFmtId="4" fontId="2" fillId="0" borderId="42" xfId="0" applyNumberFormat="1" applyFont="1" applyBorder="1" applyAlignment="1">
      <alignment horizontal="right" vertical="center"/>
    </xf>
    <xf numFmtId="0" fontId="2" fillId="0" borderId="42" xfId="0" applyFont="1" applyBorder="1" applyAlignment="1">
      <alignment horizontal="left" vertical="center"/>
    </xf>
    <xf numFmtId="4" fontId="2" fillId="0" borderId="71" xfId="0" applyNumberFormat="1" applyFont="1" applyBorder="1" applyAlignment="1">
      <alignment horizontal="right" vertical="center"/>
    </xf>
    <xf numFmtId="0" fontId="2" fillId="0" borderId="71" xfId="0" applyFont="1" applyBorder="1" applyAlignment="1">
      <alignment horizontal="left" vertical="center"/>
    </xf>
    <xf numFmtId="0" fontId="3" fillId="0" borderId="75" xfId="0" applyFont="1" applyBorder="1" applyAlignment="1">
      <alignment horizontal="left" vertical="center"/>
    </xf>
    <xf numFmtId="0" fontId="3" fillId="0" borderId="75" xfId="0" applyFont="1" applyBorder="1" applyAlignment="1">
      <alignment horizontal="right" vertical="center"/>
    </xf>
    <xf numFmtId="4" fontId="3" fillId="0" borderId="75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77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3" borderId="79" xfId="0" applyFont="1" applyFill="1" applyBorder="1" applyAlignment="1" applyProtection="1">
      <alignment horizontal="center" vertical="center"/>
      <protection locked="0"/>
    </xf>
    <xf numFmtId="0" fontId="0" fillId="0" borderId="80" xfId="0" applyBorder="1"/>
    <xf numFmtId="0" fontId="3" fillId="0" borderId="0" xfId="0" applyFont="1" applyAlignment="1">
      <alignment horizontal="right" vertical="center"/>
    </xf>
    <xf numFmtId="0" fontId="2" fillId="0" borderId="8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3" borderId="17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4" borderId="23" xfId="0" applyFont="1" applyFill="1" applyBorder="1" applyAlignment="1" applyProtection="1">
      <alignment horizontal="left" vertical="center"/>
      <protection locked="0"/>
    </xf>
    <xf numFmtId="4" fontId="3" fillId="2" borderId="23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" fontId="2" fillId="3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4" fontId="2" fillId="3" borderId="27" xfId="0" applyNumberFormat="1" applyFont="1" applyFill="1" applyBorder="1" applyAlignment="1" applyProtection="1">
      <alignment horizontal="right" vertical="center"/>
      <protection locked="0"/>
    </xf>
    <xf numFmtId="0" fontId="0" fillId="0" borderId="27" xfId="0" applyBorder="1"/>
    <xf numFmtId="0" fontId="0" fillId="0" borderId="28" xfId="0" applyBorder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/>
    </xf>
    <xf numFmtId="0" fontId="9" fillId="0" borderId="38" xfId="0" applyFont="1" applyBorder="1" applyAlignment="1">
      <alignment horizontal="left" vertical="center"/>
    </xf>
    <xf numFmtId="0" fontId="9" fillId="0" borderId="39" xfId="0" applyFont="1" applyBorder="1" applyAlignment="1">
      <alignment horizontal="left" vertical="center"/>
    </xf>
    <xf numFmtId="0" fontId="10" fillId="0" borderId="46" xfId="0" applyFont="1" applyBorder="1" applyAlignment="1">
      <alignment horizontal="left" vertical="center"/>
    </xf>
    <xf numFmtId="0" fontId="10" fillId="0" borderId="44" xfId="0" applyFont="1" applyBorder="1" applyAlignment="1">
      <alignment horizontal="left" vertical="center"/>
    </xf>
    <xf numFmtId="0" fontId="10" fillId="0" borderId="47" xfId="0" applyFont="1" applyBorder="1" applyAlignment="1">
      <alignment horizontal="left" vertical="center"/>
    </xf>
    <xf numFmtId="0" fontId="10" fillId="0" borderId="48" xfId="0" applyFont="1" applyBorder="1" applyAlignment="1">
      <alignment horizontal="left" vertical="center"/>
    </xf>
    <xf numFmtId="0" fontId="10" fillId="0" borderId="51" xfId="0" applyFont="1" applyBorder="1" applyAlignment="1">
      <alignment horizontal="left" vertical="center"/>
    </xf>
    <xf numFmtId="0" fontId="10" fillId="0" borderId="39" xfId="0" applyFont="1" applyBorder="1" applyAlignment="1">
      <alignment horizontal="left" vertical="center"/>
    </xf>
    <xf numFmtId="0" fontId="11" fillId="0" borderId="43" xfId="0" applyFont="1" applyBorder="1" applyAlignment="1">
      <alignment horizontal="left" vertical="center"/>
    </xf>
    <xf numFmtId="0" fontId="11" fillId="0" borderId="44" xfId="0" applyFont="1" applyBorder="1" applyAlignment="1">
      <alignment horizontal="left" vertical="center"/>
    </xf>
    <xf numFmtId="0" fontId="11" fillId="0" borderId="50" xfId="0" applyFont="1" applyBorder="1" applyAlignment="1">
      <alignment horizontal="left" vertical="center"/>
    </xf>
    <xf numFmtId="0" fontId="11" fillId="0" borderId="48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10" fillId="0" borderId="43" xfId="0" applyFont="1" applyBorder="1" applyAlignment="1">
      <alignment horizontal="left" vertical="center"/>
    </xf>
    <xf numFmtId="0" fontId="10" fillId="2" borderId="51" xfId="0" applyFont="1" applyFill="1" applyBorder="1" applyAlignment="1">
      <alignment horizontal="left" vertical="center"/>
    </xf>
    <xf numFmtId="0" fontId="10" fillId="2" borderId="53" xfId="0" applyFont="1" applyFill="1" applyBorder="1" applyAlignment="1">
      <alignment horizontal="left" vertical="center"/>
    </xf>
    <xf numFmtId="0" fontId="10" fillId="2" borderId="46" xfId="0" applyFont="1" applyFill="1" applyBorder="1" applyAlignment="1">
      <alignment horizontal="left" vertical="center"/>
    </xf>
    <xf numFmtId="0" fontId="10" fillId="2" borderId="54" xfId="0" applyFont="1" applyFill="1" applyBorder="1" applyAlignment="1">
      <alignment horizontal="left" vertical="center"/>
    </xf>
    <xf numFmtId="0" fontId="10" fillId="2" borderId="38" xfId="0" applyFont="1" applyFill="1" applyBorder="1" applyAlignment="1">
      <alignment horizontal="left" vertical="center"/>
    </xf>
    <xf numFmtId="0" fontId="10" fillId="2" borderId="43" xfId="0" applyFont="1" applyFill="1" applyBorder="1" applyAlignment="1">
      <alignment horizontal="left" vertical="center"/>
    </xf>
    <xf numFmtId="0" fontId="11" fillId="0" borderId="55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56" xfId="0" applyFont="1" applyBorder="1" applyAlignment="1">
      <alignment horizontal="left" vertical="center"/>
    </xf>
    <xf numFmtId="0" fontId="11" fillId="0" borderId="58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59" xfId="0" applyFont="1" applyBorder="1" applyAlignment="1">
      <alignment horizontal="left" vertical="center"/>
    </xf>
    <xf numFmtId="0" fontId="11" fillId="0" borderId="61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62" xfId="0" applyFont="1" applyBorder="1" applyAlignment="1">
      <alignment horizontal="left" vertical="center"/>
    </xf>
    <xf numFmtId="0" fontId="11" fillId="0" borderId="57" xfId="0" applyFont="1" applyBorder="1" applyAlignment="1">
      <alignment horizontal="left" vertical="center"/>
    </xf>
    <xf numFmtId="0" fontId="11" fillId="0" borderId="60" xfId="0" applyFont="1" applyBorder="1" applyAlignment="1">
      <alignment horizontal="left" vertical="center"/>
    </xf>
    <xf numFmtId="0" fontId="11" fillId="0" borderId="63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2" fillId="0" borderId="68" xfId="0" applyFont="1" applyBorder="1" applyAlignment="1">
      <alignment horizontal="lef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10" fillId="0" borderId="72" xfId="0" applyFont="1" applyBorder="1" applyAlignment="1">
      <alignment horizontal="left" vertical="center"/>
    </xf>
    <xf numFmtId="0" fontId="10" fillId="0" borderId="73" xfId="0" applyFont="1" applyBorder="1" applyAlignment="1">
      <alignment horizontal="left" vertical="center"/>
    </xf>
    <xf numFmtId="0" fontId="10" fillId="0" borderId="74" xfId="0" applyFont="1" applyBorder="1" applyAlignment="1">
      <alignment horizontal="left" vertical="center"/>
    </xf>
    <xf numFmtId="4" fontId="10" fillId="0" borderId="76" xfId="0" applyNumberFormat="1" applyFont="1" applyBorder="1" applyAlignment="1">
      <alignment horizontal="right" vertical="center"/>
    </xf>
    <xf numFmtId="0" fontId="10" fillId="0" borderId="73" xfId="0" applyFont="1" applyBorder="1" applyAlignment="1">
      <alignment horizontal="right" vertical="center"/>
    </xf>
    <xf numFmtId="0" fontId="10" fillId="0" borderId="74" xfId="0" applyFont="1" applyBorder="1" applyAlignment="1">
      <alignment horizontal="right" vertical="center"/>
    </xf>
    <xf numFmtId="0" fontId="2" fillId="3" borderId="3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3" borderId="8" xfId="0" applyFont="1" applyFill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 wrapText="1"/>
      <protection locked="0"/>
    </xf>
    <xf numFmtId="0" fontId="2" fillId="3" borderId="27" xfId="0" applyFont="1" applyFill="1" applyBorder="1" applyAlignment="1" applyProtection="1">
      <alignment horizontal="left" vertical="center"/>
      <protection locked="0"/>
    </xf>
    <xf numFmtId="0" fontId="2" fillId="3" borderId="28" xfId="0" applyFont="1" applyFill="1" applyBorder="1" applyAlignment="1" applyProtection="1">
      <alignment horizontal="left" vertical="center"/>
      <protection locked="0"/>
    </xf>
    <xf numFmtId="0" fontId="3" fillId="0" borderId="12" xfId="0" applyFont="1" applyBorder="1" applyAlignment="1">
      <alignment horizontal="left" vertical="center"/>
    </xf>
    <xf numFmtId="0" fontId="3" fillId="0" borderId="78" xfId="0" applyFont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6" fillId="3" borderId="0" xfId="0" applyFont="1" applyFill="1" applyAlignment="1" applyProtection="1">
      <alignment horizontal="left" vertical="center"/>
      <protection locked="0"/>
    </xf>
    <xf numFmtId="0" fontId="6" fillId="0" borderId="6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7"/>
  <sheetViews>
    <sheetView tabSelected="1" workbookViewId="0">
      <selection activeCell="A37" sqref="A37:I3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16" t="s">
        <v>712</v>
      </c>
      <c r="B1" s="84"/>
      <c r="C1" s="84"/>
      <c r="D1" s="84"/>
      <c r="E1" s="84"/>
      <c r="F1" s="84"/>
      <c r="G1" s="84"/>
      <c r="H1" s="84"/>
      <c r="I1" s="84"/>
    </row>
    <row r="2" spans="1:9" x14ac:dyDescent="0.25">
      <c r="A2" s="85" t="s">
        <v>1</v>
      </c>
      <c r="B2" s="86"/>
      <c r="C2" s="92" t="str">
        <f>'Stavební rozpočet'!D2</f>
        <v>Stavební úpravy hygienického zázemí pedagogických pracovníků ve 2NP, ZŠ Smetanův okruh 24/4, Krnov</v>
      </c>
      <c r="D2" s="93"/>
      <c r="E2" s="96" t="s">
        <v>3</v>
      </c>
      <c r="F2" s="96" t="str">
        <f>'Stavební rozpočet'!J2</f>
        <v>Město Krnov</v>
      </c>
      <c r="G2" s="86"/>
      <c r="H2" s="96" t="s">
        <v>713</v>
      </c>
      <c r="I2" s="97" t="s">
        <v>714</v>
      </c>
    </row>
    <row r="3" spans="1:9" ht="25.5" customHeight="1" x14ac:dyDescent="0.25">
      <c r="A3" s="87"/>
      <c r="B3" s="88"/>
      <c r="C3" s="94"/>
      <c r="D3" s="94"/>
      <c r="E3" s="88"/>
      <c r="F3" s="88"/>
      <c r="G3" s="88"/>
      <c r="H3" s="88"/>
      <c r="I3" s="98"/>
    </row>
    <row r="4" spans="1:9" x14ac:dyDescent="0.25">
      <c r="A4" s="89" t="s">
        <v>4</v>
      </c>
      <c r="B4" s="88"/>
      <c r="C4" s="95" t="str">
        <f>'Stavební rozpočet'!D4</f>
        <v xml:space="preserve"> </v>
      </c>
      <c r="D4" s="88"/>
      <c r="E4" s="95" t="s">
        <v>6</v>
      </c>
      <c r="F4" s="95" t="str">
        <f>'Stavební rozpočet'!J4</f>
        <v>Radovan Zatloukal</v>
      </c>
      <c r="G4" s="88"/>
      <c r="H4" s="95" t="s">
        <v>713</v>
      </c>
      <c r="I4" s="98" t="s">
        <v>715</v>
      </c>
    </row>
    <row r="5" spans="1:9" ht="15" customHeight="1" x14ac:dyDescent="0.25">
      <c r="A5" s="87"/>
      <c r="B5" s="88"/>
      <c r="C5" s="88"/>
      <c r="D5" s="88"/>
      <c r="E5" s="88"/>
      <c r="F5" s="88"/>
      <c r="G5" s="88"/>
      <c r="H5" s="88"/>
      <c r="I5" s="98"/>
    </row>
    <row r="6" spans="1:9" x14ac:dyDescent="0.25">
      <c r="A6" s="89" t="s">
        <v>7</v>
      </c>
      <c r="B6" s="88"/>
      <c r="C6" s="95" t="str">
        <f>'Stavební rozpočet'!D6</f>
        <v>k.ú. Krnov- Horní Předměstí [674737]</v>
      </c>
      <c r="D6" s="88"/>
      <c r="E6" s="95" t="s">
        <v>9</v>
      </c>
      <c r="F6" s="95" t="str">
        <f>'Stavební rozpočet'!J6</f>
        <v> </v>
      </c>
      <c r="G6" s="88"/>
      <c r="H6" s="95" t="s">
        <v>713</v>
      </c>
      <c r="I6" s="98" t="s">
        <v>20</v>
      </c>
    </row>
    <row r="7" spans="1:9" ht="15" customHeight="1" x14ac:dyDescent="0.25">
      <c r="A7" s="87"/>
      <c r="B7" s="88"/>
      <c r="C7" s="88"/>
      <c r="D7" s="88"/>
      <c r="E7" s="88"/>
      <c r="F7" s="88"/>
      <c r="G7" s="88"/>
      <c r="H7" s="88"/>
      <c r="I7" s="98"/>
    </row>
    <row r="8" spans="1:9" x14ac:dyDescent="0.25">
      <c r="A8" s="89" t="s">
        <v>5</v>
      </c>
      <c r="B8" s="88"/>
      <c r="C8" s="95" t="str">
        <f>'Stavební rozpočet'!H4</f>
        <v xml:space="preserve"> </v>
      </c>
      <c r="D8" s="88"/>
      <c r="E8" s="95" t="s">
        <v>8</v>
      </c>
      <c r="F8" s="95" t="str">
        <f>'Stavební rozpočet'!H6</f>
        <v xml:space="preserve"> </v>
      </c>
      <c r="G8" s="88"/>
      <c r="H8" s="88" t="s">
        <v>716</v>
      </c>
      <c r="I8" s="118">
        <v>188</v>
      </c>
    </row>
    <row r="9" spans="1:9" x14ac:dyDescent="0.25">
      <c r="A9" s="87"/>
      <c r="B9" s="88"/>
      <c r="C9" s="88"/>
      <c r="D9" s="88"/>
      <c r="E9" s="88"/>
      <c r="F9" s="88"/>
      <c r="G9" s="88"/>
      <c r="H9" s="88"/>
      <c r="I9" s="98"/>
    </row>
    <row r="10" spans="1:9" x14ac:dyDescent="0.25">
      <c r="A10" s="89" t="s">
        <v>10</v>
      </c>
      <c r="B10" s="88"/>
      <c r="C10" s="95" t="str">
        <f>'Stavební rozpočet'!D8</f>
        <v xml:space="preserve"> </v>
      </c>
      <c r="D10" s="88"/>
      <c r="E10" s="95" t="s">
        <v>12</v>
      </c>
      <c r="F10" s="95" t="str">
        <f>'Stavební rozpočet'!J8</f>
        <v>Kamil Beck</v>
      </c>
      <c r="G10" s="88"/>
      <c r="H10" s="88" t="s">
        <v>717</v>
      </c>
      <c r="I10" s="119" t="str">
        <f>'Stavební rozpočet'!H8</f>
        <v>01.03.2024</v>
      </c>
    </row>
    <row r="11" spans="1:9" x14ac:dyDescent="0.25">
      <c r="A11" s="117"/>
      <c r="B11" s="107"/>
      <c r="C11" s="107"/>
      <c r="D11" s="107"/>
      <c r="E11" s="107"/>
      <c r="F11" s="107"/>
      <c r="G11" s="107"/>
      <c r="H11" s="107"/>
      <c r="I11" s="120"/>
    </row>
    <row r="12" spans="1:9" ht="23.25" x14ac:dyDescent="0.25">
      <c r="A12" s="121" t="s">
        <v>718</v>
      </c>
      <c r="B12" s="121"/>
      <c r="C12" s="121"/>
      <c r="D12" s="121"/>
      <c r="E12" s="121"/>
      <c r="F12" s="121"/>
      <c r="G12" s="121"/>
      <c r="H12" s="121"/>
      <c r="I12" s="121"/>
    </row>
    <row r="13" spans="1:9" ht="26.25" customHeight="1" x14ac:dyDescent="0.25">
      <c r="A13" s="39" t="s">
        <v>719</v>
      </c>
      <c r="B13" s="122" t="s">
        <v>720</v>
      </c>
      <c r="C13" s="123"/>
      <c r="D13" s="40" t="s">
        <v>721</v>
      </c>
      <c r="E13" s="122" t="s">
        <v>722</v>
      </c>
      <c r="F13" s="123"/>
      <c r="G13" s="40" t="s">
        <v>723</v>
      </c>
      <c r="H13" s="122" t="s">
        <v>724</v>
      </c>
      <c r="I13" s="123"/>
    </row>
    <row r="14" spans="1:9" ht="15.75" x14ac:dyDescent="0.25">
      <c r="A14" s="41" t="s">
        <v>725</v>
      </c>
      <c r="B14" s="42" t="s">
        <v>726</v>
      </c>
      <c r="C14" s="43">
        <f>SUM('Stavební rozpočet'!AB12:AB294)</f>
        <v>0</v>
      </c>
      <c r="D14" s="130" t="s">
        <v>727</v>
      </c>
      <c r="E14" s="131"/>
      <c r="F14" s="43">
        <f>VORN!I15</f>
        <v>0</v>
      </c>
      <c r="G14" s="130" t="s">
        <v>728</v>
      </c>
      <c r="H14" s="131"/>
      <c r="I14" s="44">
        <f>VORN!I21</f>
        <v>0</v>
      </c>
    </row>
    <row r="15" spans="1:9" ht="15.75" x14ac:dyDescent="0.25">
      <c r="A15" s="45" t="s">
        <v>20</v>
      </c>
      <c r="B15" s="42" t="s">
        <v>729</v>
      </c>
      <c r="C15" s="43">
        <f>SUM('Stavební rozpočet'!AC12:AC294)</f>
        <v>0</v>
      </c>
      <c r="D15" s="130" t="s">
        <v>730</v>
      </c>
      <c r="E15" s="131"/>
      <c r="F15" s="43">
        <f>VORN!I16</f>
        <v>0</v>
      </c>
      <c r="G15" s="130" t="s">
        <v>731</v>
      </c>
      <c r="H15" s="131"/>
      <c r="I15" s="44">
        <f>VORN!I22</f>
        <v>0</v>
      </c>
    </row>
    <row r="16" spans="1:9" ht="15.75" x14ac:dyDescent="0.25">
      <c r="A16" s="41" t="s">
        <v>732</v>
      </c>
      <c r="B16" s="42" t="s">
        <v>726</v>
      </c>
      <c r="C16" s="43">
        <f>SUM('Stavební rozpočet'!AD12:AD294)</f>
        <v>0</v>
      </c>
      <c r="D16" s="130" t="s">
        <v>733</v>
      </c>
      <c r="E16" s="131"/>
      <c r="F16" s="43">
        <f>VORN!I17</f>
        <v>0</v>
      </c>
      <c r="G16" s="130" t="s">
        <v>734</v>
      </c>
      <c r="H16" s="131"/>
      <c r="I16" s="44">
        <f>VORN!I23</f>
        <v>0</v>
      </c>
    </row>
    <row r="17" spans="1:9" ht="15.75" x14ac:dyDescent="0.25">
      <c r="A17" s="45" t="s">
        <v>20</v>
      </c>
      <c r="B17" s="42" t="s">
        <v>729</v>
      </c>
      <c r="C17" s="43">
        <f>SUM('Stavební rozpočet'!AE12:AE294)</f>
        <v>0</v>
      </c>
      <c r="D17" s="130" t="s">
        <v>20</v>
      </c>
      <c r="E17" s="131"/>
      <c r="F17" s="44" t="s">
        <v>20</v>
      </c>
      <c r="G17" s="130" t="s">
        <v>735</v>
      </c>
      <c r="H17" s="131"/>
      <c r="I17" s="44">
        <f>VORN!I24</f>
        <v>0</v>
      </c>
    </row>
    <row r="18" spans="1:9" ht="15.75" x14ac:dyDescent="0.25">
      <c r="A18" s="41" t="s">
        <v>736</v>
      </c>
      <c r="B18" s="42" t="s">
        <v>726</v>
      </c>
      <c r="C18" s="43">
        <f>SUM('Stavební rozpočet'!AF12:AF294)</f>
        <v>0</v>
      </c>
      <c r="D18" s="130" t="s">
        <v>20</v>
      </c>
      <c r="E18" s="131"/>
      <c r="F18" s="44" t="s">
        <v>20</v>
      </c>
      <c r="G18" s="130" t="s">
        <v>737</v>
      </c>
      <c r="H18" s="131"/>
      <c r="I18" s="44">
        <f>VORN!I25</f>
        <v>0</v>
      </c>
    </row>
    <row r="19" spans="1:9" ht="15.75" x14ac:dyDescent="0.25">
      <c r="A19" s="45" t="s">
        <v>20</v>
      </c>
      <c r="B19" s="42" t="s">
        <v>729</v>
      </c>
      <c r="C19" s="43">
        <f>SUM('Stavební rozpočet'!AG12:AG294)</f>
        <v>0</v>
      </c>
      <c r="D19" s="130" t="s">
        <v>20</v>
      </c>
      <c r="E19" s="131"/>
      <c r="F19" s="44" t="s">
        <v>20</v>
      </c>
      <c r="G19" s="130" t="s">
        <v>738</v>
      </c>
      <c r="H19" s="131"/>
      <c r="I19" s="44">
        <f>VORN!I26</f>
        <v>0</v>
      </c>
    </row>
    <row r="20" spans="1:9" ht="15.75" x14ac:dyDescent="0.25">
      <c r="A20" s="124" t="s">
        <v>739</v>
      </c>
      <c r="B20" s="125"/>
      <c r="C20" s="43">
        <f>SUM('Stavební rozpočet'!AH12:AH294)</f>
        <v>0</v>
      </c>
      <c r="D20" s="130" t="s">
        <v>20</v>
      </c>
      <c r="E20" s="131"/>
      <c r="F20" s="44" t="s">
        <v>20</v>
      </c>
      <c r="G20" s="130" t="s">
        <v>20</v>
      </c>
      <c r="H20" s="131"/>
      <c r="I20" s="44" t="s">
        <v>20</v>
      </c>
    </row>
    <row r="21" spans="1:9" ht="15.75" x14ac:dyDescent="0.25">
      <c r="A21" s="126" t="s">
        <v>740</v>
      </c>
      <c r="B21" s="127"/>
      <c r="C21" s="46">
        <f>SUM('Stavební rozpočet'!Z12:Z294)</f>
        <v>0</v>
      </c>
      <c r="D21" s="132" t="s">
        <v>20</v>
      </c>
      <c r="E21" s="133"/>
      <c r="F21" s="47" t="s">
        <v>20</v>
      </c>
      <c r="G21" s="132" t="s">
        <v>20</v>
      </c>
      <c r="H21" s="133"/>
      <c r="I21" s="47" t="s">
        <v>20</v>
      </c>
    </row>
    <row r="22" spans="1:9" ht="16.5" customHeight="1" x14ac:dyDescent="0.25">
      <c r="A22" s="128" t="s">
        <v>741</v>
      </c>
      <c r="B22" s="129"/>
      <c r="C22" s="48">
        <f>ROUND(SUM(C14:C21),0)</f>
        <v>0</v>
      </c>
      <c r="D22" s="134" t="s">
        <v>742</v>
      </c>
      <c r="E22" s="129"/>
      <c r="F22" s="48">
        <f>SUM(F14:F21)</f>
        <v>0</v>
      </c>
      <c r="G22" s="134" t="s">
        <v>743</v>
      </c>
      <c r="H22" s="129"/>
      <c r="I22" s="48">
        <f>SUM(I14:I21)</f>
        <v>0</v>
      </c>
    </row>
    <row r="23" spans="1:9" ht="15.75" x14ac:dyDescent="0.25">
      <c r="D23" s="124" t="s">
        <v>744</v>
      </c>
      <c r="E23" s="125"/>
      <c r="F23" s="49">
        <v>0</v>
      </c>
      <c r="G23" s="135" t="s">
        <v>745</v>
      </c>
      <c r="H23" s="125"/>
      <c r="I23" s="43">
        <v>0</v>
      </c>
    </row>
    <row r="24" spans="1:9" ht="15.75" x14ac:dyDescent="0.25">
      <c r="G24" s="124" t="s">
        <v>746</v>
      </c>
      <c r="H24" s="125"/>
      <c r="I24" s="46">
        <f>vorn_sum</f>
        <v>0</v>
      </c>
    </row>
    <row r="25" spans="1:9" ht="15.75" x14ac:dyDescent="0.25">
      <c r="G25" s="124" t="s">
        <v>747</v>
      </c>
      <c r="H25" s="125"/>
      <c r="I25" s="48">
        <v>0</v>
      </c>
    </row>
    <row r="27" spans="1:9" ht="15.75" x14ac:dyDescent="0.25">
      <c r="A27" s="136" t="s">
        <v>748</v>
      </c>
      <c r="B27" s="137"/>
      <c r="C27" s="50">
        <f>ROUND(SUM('Stavební rozpočet'!AJ12:AJ294),0)</f>
        <v>0</v>
      </c>
    </row>
    <row r="28" spans="1:9" ht="15.75" x14ac:dyDescent="0.25">
      <c r="A28" s="138" t="s">
        <v>749</v>
      </c>
      <c r="B28" s="139"/>
      <c r="C28" s="51">
        <f>ROUND(SUM('Stavební rozpočet'!AK12:AK294),0)</f>
        <v>0</v>
      </c>
      <c r="D28" s="140" t="s">
        <v>750</v>
      </c>
      <c r="E28" s="137"/>
      <c r="F28" s="50">
        <f>ROUND(C28*(12/100),2)</f>
        <v>0</v>
      </c>
      <c r="G28" s="140" t="s">
        <v>751</v>
      </c>
      <c r="H28" s="137"/>
      <c r="I28" s="50">
        <f>ROUND(SUM(C27:C29),0)</f>
        <v>0</v>
      </c>
    </row>
    <row r="29" spans="1:9" ht="15.75" x14ac:dyDescent="0.25">
      <c r="A29" s="138" t="s">
        <v>752</v>
      </c>
      <c r="B29" s="139"/>
      <c r="C29" s="51">
        <f>ROUND(SUM('Stavební rozpočet'!AL12:AL294)+(F22+I22+F23+I23+I24+I25),0)</f>
        <v>0</v>
      </c>
      <c r="D29" s="141" t="s">
        <v>753</v>
      </c>
      <c r="E29" s="139"/>
      <c r="F29" s="51">
        <f>ROUND(C29*(21/100),2)</f>
        <v>0</v>
      </c>
      <c r="G29" s="141" t="s">
        <v>754</v>
      </c>
      <c r="H29" s="139"/>
      <c r="I29" s="51">
        <f>ROUND(SUM(F28:F29)+I28,0)</f>
        <v>0</v>
      </c>
    </row>
    <row r="31" spans="1:9" x14ac:dyDescent="0.25">
      <c r="A31" s="142" t="s">
        <v>755</v>
      </c>
      <c r="B31" s="143"/>
      <c r="C31" s="144"/>
      <c r="D31" s="151" t="s">
        <v>756</v>
      </c>
      <c r="E31" s="143"/>
      <c r="F31" s="144"/>
      <c r="G31" s="151" t="s">
        <v>757</v>
      </c>
      <c r="H31" s="143"/>
      <c r="I31" s="144"/>
    </row>
    <row r="32" spans="1:9" x14ac:dyDescent="0.25">
      <c r="A32" s="145" t="s">
        <v>20</v>
      </c>
      <c r="B32" s="146"/>
      <c r="C32" s="147"/>
      <c r="D32" s="152" t="s">
        <v>20</v>
      </c>
      <c r="E32" s="146"/>
      <c r="F32" s="147"/>
      <c r="G32" s="152" t="s">
        <v>20</v>
      </c>
      <c r="H32" s="146"/>
      <c r="I32" s="147"/>
    </row>
    <row r="33" spans="1:9" x14ac:dyDescent="0.25">
      <c r="A33" s="145" t="s">
        <v>20</v>
      </c>
      <c r="B33" s="146"/>
      <c r="C33" s="147"/>
      <c r="D33" s="152" t="s">
        <v>20</v>
      </c>
      <c r="E33" s="146"/>
      <c r="F33" s="147"/>
      <c r="G33" s="152" t="s">
        <v>20</v>
      </c>
      <c r="H33" s="146"/>
      <c r="I33" s="147"/>
    </row>
    <row r="34" spans="1:9" x14ac:dyDescent="0.25">
      <c r="A34" s="145" t="s">
        <v>20</v>
      </c>
      <c r="B34" s="146"/>
      <c r="C34" s="147"/>
      <c r="D34" s="152" t="s">
        <v>20</v>
      </c>
      <c r="E34" s="146"/>
      <c r="F34" s="147"/>
      <c r="G34" s="152" t="s">
        <v>20</v>
      </c>
      <c r="H34" s="146"/>
      <c r="I34" s="147"/>
    </row>
    <row r="35" spans="1:9" x14ac:dyDescent="0.25">
      <c r="A35" s="148" t="s">
        <v>758</v>
      </c>
      <c r="B35" s="149"/>
      <c r="C35" s="150"/>
      <c r="D35" s="153" t="s">
        <v>758</v>
      </c>
      <c r="E35" s="149"/>
      <c r="F35" s="150"/>
      <c r="G35" s="153" t="s">
        <v>758</v>
      </c>
      <c r="H35" s="149"/>
      <c r="I35" s="150"/>
    </row>
    <row r="36" spans="1:9" x14ac:dyDescent="0.25">
      <c r="A36" s="52" t="s">
        <v>49</v>
      </c>
    </row>
    <row r="37" spans="1:9" ht="40.5" customHeight="1" x14ac:dyDescent="0.25">
      <c r="A37" s="95" t="s">
        <v>50</v>
      </c>
      <c r="B37" s="88"/>
      <c r="C37" s="88"/>
      <c r="D37" s="88"/>
      <c r="E37" s="88"/>
      <c r="F37" s="88"/>
      <c r="G37" s="88"/>
      <c r="H37" s="88"/>
      <c r="I37" s="88"/>
    </row>
  </sheetData>
  <sheetProtection password="C665" sheet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7"/>
  <sheetViews>
    <sheetView workbookViewId="0">
      <pane ySplit="11" topLeftCell="A12" activePane="bottomLeft" state="frozen"/>
      <selection pane="bottomLeft" activeCell="A17" sqref="A17:L17"/>
    </sheetView>
  </sheetViews>
  <sheetFormatPr defaultColWidth="12.140625" defaultRowHeight="15" customHeight="1" x14ac:dyDescent="0.25"/>
  <cols>
    <col min="1" max="1" width="7.5703125" customWidth="1"/>
    <col min="2" max="11" width="15.7109375" customWidth="1"/>
    <col min="12" max="12" width="14.28515625" customWidth="1"/>
    <col min="13" max="16" width="12.140625" hidden="1"/>
  </cols>
  <sheetData>
    <row r="1" spans="1:16" ht="54.75" customHeight="1" x14ac:dyDescent="0.25">
      <c r="A1" s="84" t="s">
        <v>51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6" x14ac:dyDescent="0.25">
      <c r="A2" s="85" t="s">
        <v>1</v>
      </c>
      <c r="B2" s="86"/>
      <c r="C2" s="86"/>
      <c r="D2" s="92" t="str">
        <f>'Stavební rozpočet'!D2</f>
        <v>Stavební úpravy hygienického zázemí pedagogických pracovníků ve 2NP, ZŠ Smetanův okruh 24/4, Krnov</v>
      </c>
      <c r="E2" s="93"/>
      <c r="F2" s="93"/>
      <c r="G2" s="96" t="s">
        <v>2</v>
      </c>
      <c r="H2" s="96" t="str">
        <f>'Stavební rozpočet'!H2</f>
        <v xml:space="preserve"> </v>
      </c>
      <c r="I2" s="96" t="s">
        <v>3</v>
      </c>
      <c r="J2" s="96" t="str">
        <f>'Stavební rozpočet'!J2</f>
        <v>Město Krnov</v>
      </c>
      <c r="K2" s="86"/>
      <c r="L2" s="97"/>
    </row>
    <row r="3" spans="1:16" ht="25.5" customHeight="1" x14ac:dyDescent="0.25">
      <c r="A3" s="87"/>
      <c r="B3" s="88"/>
      <c r="C3" s="88"/>
      <c r="D3" s="94"/>
      <c r="E3" s="94"/>
      <c r="F3" s="94"/>
      <c r="G3" s="88"/>
      <c r="H3" s="88"/>
      <c r="I3" s="88"/>
      <c r="J3" s="88"/>
      <c r="K3" s="88"/>
      <c r="L3" s="98"/>
    </row>
    <row r="4" spans="1:16" x14ac:dyDescent="0.25">
      <c r="A4" s="89" t="s">
        <v>4</v>
      </c>
      <c r="B4" s="88"/>
      <c r="C4" s="88"/>
      <c r="D4" s="95" t="str">
        <f>'Stavební rozpočet'!D4</f>
        <v xml:space="preserve"> </v>
      </c>
      <c r="E4" s="88"/>
      <c r="F4" s="88"/>
      <c r="G4" s="95" t="s">
        <v>5</v>
      </c>
      <c r="H4" s="95" t="str">
        <f>'Stavební rozpočet'!H4</f>
        <v xml:space="preserve"> </v>
      </c>
      <c r="I4" s="95" t="s">
        <v>6</v>
      </c>
      <c r="J4" s="95" t="str">
        <f>'Stavební rozpočet'!J4</f>
        <v>Radovan Zatloukal</v>
      </c>
      <c r="K4" s="88"/>
      <c r="L4" s="98"/>
    </row>
    <row r="5" spans="1:16" ht="15" customHeight="1" x14ac:dyDescent="0.25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98"/>
    </row>
    <row r="6" spans="1:16" x14ac:dyDescent="0.25">
      <c r="A6" s="89" t="s">
        <v>7</v>
      </c>
      <c r="B6" s="88"/>
      <c r="C6" s="88"/>
      <c r="D6" s="95" t="str">
        <f>'Stavební rozpočet'!D6</f>
        <v>k.ú. Krnov- Horní Předměstí [674737]</v>
      </c>
      <c r="E6" s="88"/>
      <c r="F6" s="88"/>
      <c r="G6" s="95" t="s">
        <v>8</v>
      </c>
      <c r="H6" s="95" t="str">
        <f>'Stavební rozpočet'!H6</f>
        <v xml:space="preserve"> </v>
      </c>
      <c r="I6" s="95" t="s">
        <v>9</v>
      </c>
      <c r="J6" s="95" t="str">
        <f>'Stavební rozpočet'!J6</f>
        <v> </v>
      </c>
      <c r="K6" s="88"/>
      <c r="L6" s="98"/>
    </row>
    <row r="7" spans="1:16" ht="15" customHeight="1" x14ac:dyDescent="0.25">
      <c r="A7" s="87"/>
      <c r="B7" s="88"/>
      <c r="C7" s="88"/>
      <c r="D7" s="88"/>
      <c r="E7" s="88"/>
      <c r="F7" s="88"/>
      <c r="G7" s="88"/>
      <c r="H7" s="88"/>
      <c r="I7" s="88"/>
      <c r="J7" s="88"/>
      <c r="K7" s="88"/>
      <c r="L7" s="98"/>
    </row>
    <row r="8" spans="1:16" x14ac:dyDescent="0.25">
      <c r="A8" s="89" t="s">
        <v>10</v>
      </c>
      <c r="B8" s="88"/>
      <c r="C8" s="88"/>
      <c r="D8" s="95" t="str">
        <f>'Stavební rozpočet'!D8</f>
        <v xml:space="preserve"> </v>
      </c>
      <c r="E8" s="88"/>
      <c r="F8" s="88"/>
      <c r="G8" s="95" t="s">
        <v>11</v>
      </c>
      <c r="H8" s="95" t="str">
        <f>'Stavební rozpočet'!H8</f>
        <v>01.03.2024</v>
      </c>
      <c r="I8" s="95" t="s">
        <v>12</v>
      </c>
      <c r="J8" s="95" t="str">
        <f>'Stavební rozpočet'!J8</f>
        <v>Kamil Beck</v>
      </c>
      <c r="K8" s="88"/>
      <c r="L8" s="98"/>
    </row>
    <row r="9" spans="1:16" x14ac:dyDescent="0.25">
      <c r="A9" s="90"/>
      <c r="B9" s="91"/>
      <c r="C9" s="91"/>
      <c r="D9" s="91"/>
      <c r="E9" s="91"/>
      <c r="F9" s="91"/>
      <c r="G9" s="91"/>
      <c r="H9" s="91"/>
      <c r="I9" s="91"/>
      <c r="J9" s="91"/>
      <c r="K9" s="91"/>
      <c r="L9" s="99"/>
    </row>
    <row r="10" spans="1:16" x14ac:dyDescent="0.25">
      <c r="A10" s="3" t="s">
        <v>13</v>
      </c>
      <c r="B10" s="100" t="s">
        <v>13</v>
      </c>
      <c r="C10" s="101"/>
      <c r="D10" s="101"/>
      <c r="E10" s="101"/>
      <c r="F10" s="101"/>
      <c r="G10" s="101"/>
      <c r="H10" s="101"/>
      <c r="I10" s="101"/>
      <c r="J10" s="101"/>
      <c r="K10" s="102"/>
      <c r="L10" s="5" t="s">
        <v>14</v>
      </c>
    </row>
    <row r="11" spans="1:16" x14ac:dyDescent="0.25">
      <c r="A11" s="6" t="s">
        <v>15</v>
      </c>
      <c r="B11" s="103" t="s">
        <v>17</v>
      </c>
      <c r="C11" s="104"/>
      <c r="D11" s="104"/>
      <c r="E11" s="104"/>
      <c r="F11" s="104"/>
      <c r="G11" s="104"/>
      <c r="H11" s="104"/>
      <c r="I11" s="104"/>
      <c r="J11" s="104"/>
      <c r="K11" s="105"/>
      <c r="L11" s="8" t="s">
        <v>18</v>
      </c>
    </row>
    <row r="12" spans="1:16" x14ac:dyDescent="0.25">
      <c r="A12" s="9" t="s">
        <v>19</v>
      </c>
      <c r="B12" s="106" t="s">
        <v>21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1">
        <f>'Stavební rozpočet'!I12</f>
        <v>0</v>
      </c>
      <c r="M12" s="12" t="s">
        <v>22</v>
      </c>
      <c r="N12" s="13">
        <f>IF(M12="F",0,L12)</f>
        <v>0</v>
      </c>
      <c r="O12" s="2" t="s">
        <v>19</v>
      </c>
      <c r="P12" s="13">
        <f>IF(M12="T",0,L12)</f>
        <v>0</v>
      </c>
    </row>
    <row r="13" spans="1:16" x14ac:dyDescent="0.25">
      <c r="A13" s="1" t="s">
        <v>26</v>
      </c>
      <c r="B13" s="88" t="s">
        <v>27</v>
      </c>
      <c r="C13" s="88"/>
      <c r="D13" s="88"/>
      <c r="E13" s="88"/>
      <c r="F13" s="88"/>
      <c r="G13" s="88"/>
      <c r="H13" s="88"/>
      <c r="I13" s="88"/>
      <c r="J13" s="88"/>
      <c r="K13" s="88"/>
      <c r="L13" s="14">
        <f>'Stavební rozpočet'!I27</f>
        <v>0</v>
      </c>
      <c r="M13" s="12" t="s">
        <v>22</v>
      </c>
      <c r="N13" s="13">
        <f>IF(M13="F",0,L13)</f>
        <v>0</v>
      </c>
      <c r="O13" s="2" t="s">
        <v>26</v>
      </c>
      <c r="P13" s="13">
        <f>IF(M13="T",0,L13)</f>
        <v>0</v>
      </c>
    </row>
    <row r="14" spans="1:16" x14ac:dyDescent="0.25">
      <c r="A14" s="15" t="s">
        <v>46</v>
      </c>
      <c r="B14" s="107" t="s">
        <v>47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7">
        <f>'Stavební rozpočet'!I268</f>
        <v>0</v>
      </c>
      <c r="M14" s="12" t="s">
        <v>22</v>
      </c>
      <c r="N14" s="13">
        <f>IF(M14="F",0,L14)</f>
        <v>0</v>
      </c>
      <c r="O14" s="2" t="s">
        <v>46</v>
      </c>
      <c r="P14" s="13">
        <f>IF(M14="T",0,L14)</f>
        <v>0</v>
      </c>
    </row>
    <row r="15" spans="1:16" x14ac:dyDescent="0.25">
      <c r="J15" s="108" t="s">
        <v>48</v>
      </c>
      <c r="K15" s="108"/>
      <c r="L15" s="18">
        <f>ROUND(SUM(P12:P14),0)</f>
        <v>0</v>
      </c>
    </row>
    <row r="16" spans="1:16" x14ac:dyDescent="0.25">
      <c r="A16" s="19" t="s">
        <v>49</v>
      </c>
    </row>
    <row r="17" spans="1:12" ht="40.5" customHeight="1" x14ac:dyDescent="0.25">
      <c r="A17" s="95" t="s">
        <v>50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</row>
  </sheetData>
  <sheetProtection password="C665" sheet="1"/>
  <mergeCells count="32">
    <mergeCell ref="A17:L17"/>
    <mergeCell ref="B11:K11"/>
    <mergeCell ref="B12:K12"/>
    <mergeCell ref="B13:K13"/>
    <mergeCell ref="B14:K14"/>
    <mergeCell ref="J15:K15"/>
    <mergeCell ref="J2:L3"/>
    <mergeCell ref="J4:L5"/>
    <mergeCell ref="J6:L7"/>
    <mergeCell ref="J8:L9"/>
    <mergeCell ref="B10:K10"/>
    <mergeCell ref="H8:H9"/>
    <mergeCell ref="I2:I3"/>
    <mergeCell ref="I4:I5"/>
    <mergeCell ref="I6:I7"/>
    <mergeCell ref="I8:I9"/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3"/>
  <sheetViews>
    <sheetView workbookViewId="0">
      <pane ySplit="11" topLeftCell="A12" activePane="bottomLeft" state="frozen"/>
      <selection pane="bottomLeft" activeCell="A33" sqref="A33:L33"/>
    </sheetView>
  </sheetViews>
  <sheetFormatPr defaultColWidth="12.140625" defaultRowHeight="15" customHeight="1" x14ac:dyDescent="0.25"/>
  <cols>
    <col min="1" max="1" width="7.5703125" customWidth="1"/>
    <col min="2" max="2" width="5.7109375" customWidth="1"/>
    <col min="3" max="11" width="15.7109375" customWidth="1"/>
    <col min="12" max="12" width="14.28515625" customWidth="1"/>
    <col min="13" max="16" width="12.140625" hidden="1"/>
  </cols>
  <sheetData>
    <row r="1" spans="1:16" ht="54.75" customHeight="1" x14ac:dyDescent="0.25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6" x14ac:dyDescent="0.25">
      <c r="A2" s="85" t="s">
        <v>1</v>
      </c>
      <c r="B2" s="86"/>
      <c r="C2" s="86"/>
      <c r="D2" s="92" t="str">
        <f>'Stavební rozpočet'!D2</f>
        <v>Stavební úpravy hygienického zázemí pedagogických pracovníků ve 2NP, ZŠ Smetanův okruh 24/4, Krnov</v>
      </c>
      <c r="E2" s="93"/>
      <c r="F2" s="93"/>
      <c r="G2" s="96" t="s">
        <v>2</v>
      </c>
      <c r="H2" s="96" t="str">
        <f>'Stavební rozpočet'!H2</f>
        <v xml:space="preserve"> </v>
      </c>
      <c r="I2" s="96" t="s">
        <v>3</v>
      </c>
      <c r="J2" s="96" t="str">
        <f>'Stavební rozpočet'!J2</f>
        <v>Město Krnov</v>
      </c>
      <c r="K2" s="86"/>
      <c r="L2" s="97"/>
    </row>
    <row r="3" spans="1:16" ht="25.5" customHeight="1" x14ac:dyDescent="0.25">
      <c r="A3" s="87"/>
      <c r="B3" s="88"/>
      <c r="C3" s="88"/>
      <c r="D3" s="94"/>
      <c r="E3" s="94"/>
      <c r="F3" s="94"/>
      <c r="G3" s="88"/>
      <c r="H3" s="88"/>
      <c r="I3" s="88"/>
      <c r="J3" s="88"/>
      <c r="K3" s="88"/>
      <c r="L3" s="98"/>
    </row>
    <row r="4" spans="1:16" x14ac:dyDescent="0.25">
      <c r="A4" s="89" t="s">
        <v>4</v>
      </c>
      <c r="B4" s="88"/>
      <c r="C4" s="88"/>
      <c r="D4" s="95" t="str">
        <f>'Stavební rozpočet'!D4</f>
        <v xml:space="preserve"> </v>
      </c>
      <c r="E4" s="88"/>
      <c r="F4" s="88"/>
      <c r="G4" s="95" t="s">
        <v>5</v>
      </c>
      <c r="H4" s="95" t="str">
        <f>'Stavební rozpočet'!H4</f>
        <v xml:space="preserve"> </v>
      </c>
      <c r="I4" s="95" t="s">
        <v>6</v>
      </c>
      <c r="J4" s="95" t="str">
        <f>'Stavební rozpočet'!J4</f>
        <v>Radovan Zatloukal</v>
      </c>
      <c r="K4" s="88"/>
      <c r="L4" s="98"/>
    </row>
    <row r="5" spans="1:16" ht="15" customHeight="1" x14ac:dyDescent="0.25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98"/>
    </row>
    <row r="6" spans="1:16" x14ac:dyDescent="0.25">
      <c r="A6" s="89" t="s">
        <v>7</v>
      </c>
      <c r="B6" s="88"/>
      <c r="C6" s="88"/>
      <c r="D6" s="95" t="str">
        <f>'Stavební rozpočet'!D6</f>
        <v>k.ú. Krnov- Horní Předměstí [674737]</v>
      </c>
      <c r="E6" s="88"/>
      <c r="F6" s="88"/>
      <c r="G6" s="95" t="s">
        <v>8</v>
      </c>
      <c r="H6" s="95" t="str">
        <f>'Stavební rozpočet'!H6</f>
        <v xml:space="preserve"> </v>
      </c>
      <c r="I6" s="95" t="s">
        <v>9</v>
      </c>
      <c r="J6" s="95" t="str">
        <f>'Stavební rozpočet'!J6</f>
        <v> </v>
      </c>
      <c r="K6" s="88"/>
      <c r="L6" s="98"/>
    </row>
    <row r="7" spans="1:16" ht="15" customHeight="1" x14ac:dyDescent="0.25">
      <c r="A7" s="87"/>
      <c r="B7" s="88"/>
      <c r="C7" s="88"/>
      <c r="D7" s="88"/>
      <c r="E7" s="88"/>
      <c r="F7" s="88"/>
      <c r="G7" s="88"/>
      <c r="H7" s="88"/>
      <c r="I7" s="88"/>
      <c r="J7" s="88"/>
      <c r="K7" s="88"/>
      <c r="L7" s="98"/>
    </row>
    <row r="8" spans="1:16" x14ac:dyDescent="0.25">
      <c r="A8" s="89" t="s">
        <v>10</v>
      </c>
      <c r="B8" s="88"/>
      <c r="C8" s="88"/>
      <c r="D8" s="95" t="str">
        <f>'Stavební rozpočet'!D8</f>
        <v xml:space="preserve"> </v>
      </c>
      <c r="E8" s="88"/>
      <c r="F8" s="88"/>
      <c r="G8" s="95" t="s">
        <v>11</v>
      </c>
      <c r="H8" s="95" t="str">
        <f>'Stavební rozpočet'!H8</f>
        <v>01.03.2024</v>
      </c>
      <c r="I8" s="95" t="s">
        <v>12</v>
      </c>
      <c r="J8" s="95" t="str">
        <f>'Stavební rozpočet'!J8</f>
        <v>Kamil Beck</v>
      </c>
      <c r="K8" s="88"/>
      <c r="L8" s="98"/>
    </row>
    <row r="9" spans="1:16" x14ac:dyDescent="0.25">
      <c r="A9" s="90"/>
      <c r="B9" s="91"/>
      <c r="C9" s="91"/>
      <c r="D9" s="91"/>
      <c r="E9" s="91"/>
      <c r="F9" s="91"/>
      <c r="G9" s="91"/>
      <c r="H9" s="91"/>
      <c r="I9" s="91"/>
      <c r="J9" s="91"/>
      <c r="K9" s="91"/>
      <c r="L9" s="99"/>
    </row>
    <row r="10" spans="1:16" x14ac:dyDescent="0.25">
      <c r="A10" s="3" t="s">
        <v>13</v>
      </c>
      <c r="B10" s="4" t="s">
        <v>13</v>
      </c>
      <c r="C10" s="100" t="s">
        <v>13</v>
      </c>
      <c r="D10" s="101"/>
      <c r="E10" s="101"/>
      <c r="F10" s="101"/>
      <c r="G10" s="101"/>
      <c r="H10" s="101"/>
      <c r="I10" s="101"/>
      <c r="J10" s="101"/>
      <c r="K10" s="102"/>
      <c r="L10" s="5" t="s">
        <v>14</v>
      </c>
    </row>
    <row r="11" spans="1:16" x14ac:dyDescent="0.25">
      <c r="A11" s="6" t="s">
        <v>15</v>
      </c>
      <c r="B11" s="7" t="s">
        <v>16</v>
      </c>
      <c r="C11" s="103" t="s">
        <v>17</v>
      </c>
      <c r="D11" s="104"/>
      <c r="E11" s="104"/>
      <c r="F11" s="104"/>
      <c r="G11" s="104"/>
      <c r="H11" s="104"/>
      <c r="I11" s="104"/>
      <c r="J11" s="104"/>
      <c r="K11" s="105"/>
      <c r="L11" s="8" t="s">
        <v>18</v>
      </c>
    </row>
    <row r="12" spans="1:16" x14ac:dyDescent="0.25">
      <c r="A12" s="9" t="s">
        <v>19</v>
      </c>
      <c r="B12" s="10" t="s">
        <v>20</v>
      </c>
      <c r="C12" s="106" t="s">
        <v>21</v>
      </c>
      <c r="D12" s="106"/>
      <c r="E12" s="106"/>
      <c r="F12" s="106"/>
      <c r="G12" s="106"/>
      <c r="H12" s="106"/>
      <c r="I12" s="106"/>
      <c r="J12" s="106"/>
      <c r="K12" s="106"/>
      <c r="L12" s="11">
        <f>'Stavební rozpočet'!I12</f>
        <v>0</v>
      </c>
      <c r="M12" s="12" t="s">
        <v>22</v>
      </c>
      <c r="N12" s="13">
        <f t="shared" ref="N12:N30" si="0">IF(M12="F",0,L12)</f>
        <v>0</v>
      </c>
      <c r="O12" s="2" t="s">
        <v>19</v>
      </c>
      <c r="P12" s="13">
        <f t="shared" ref="P12:P30" si="1">IF(M12="T",0,L12)</f>
        <v>0</v>
      </c>
    </row>
    <row r="13" spans="1:16" x14ac:dyDescent="0.25">
      <c r="A13" s="1" t="s">
        <v>19</v>
      </c>
      <c r="B13" s="2" t="s">
        <v>23</v>
      </c>
      <c r="C13" s="88" t="s">
        <v>24</v>
      </c>
      <c r="D13" s="88"/>
      <c r="E13" s="88"/>
      <c r="F13" s="88"/>
      <c r="G13" s="88"/>
      <c r="H13" s="88"/>
      <c r="I13" s="88"/>
      <c r="J13" s="88"/>
      <c r="K13" s="88"/>
      <c r="L13" s="14">
        <f>SUMIF('Stavební rozpočet'!AZ13:AZ294,"01_1_",'Stavební rozpočet'!AV13:AV294)</f>
        <v>0</v>
      </c>
      <c r="M13" s="12" t="s">
        <v>25</v>
      </c>
      <c r="N13" s="13">
        <f t="shared" si="0"/>
        <v>0</v>
      </c>
      <c r="O13" s="2" t="s">
        <v>19</v>
      </c>
      <c r="P13" s="13">
        <f t="shared" si="1"/>
        <v>0</v>
      </c>
    </row>
    <row r="14" spans="1:16" x14ac:dyDescent="0.25">
      <c r="A14" s="1" t="s">
        <v>26</v>
      </c>
      <c r="B14" s="2" t="s">
        <v>20</v>
      </c>
      <c r="C14" s="88" t="s">
        <v>27</v>
      </c>
      <c r="D14" s="88"/>
      <c r="E14" s="88"/>
      <c r="F14" s="88"/>
      <c r="G14" s="88"/>
      <c r="H14" s="88"/>
      <c r="I14" s="88"/>
      <c r="J14" s="88"/>
      <c r="K14" s="88"/>
      <c r="L14" s="14">
        <f>'Stavební rozpočet'!I27</f>
        <v>0</v>
      </c>
      <c r="M14" s="12" t="s">
        <v>22</v>
      </c>
      <c r="N14" s="13">
        <f t="shared" si="0"/>
        <v>0</v>
      </c>
      <c r="O14" s="2" t="s">
        <v>26</v>
      </c>
      <c r="P14" s="13">
        <f t="shared" si="1"/>
        <v>0</v>
      </c>
    </row>
    <row r="15" spans="1:16" x14ac:dyDescent="0.25">
      <c r="A15" s="1" t="s">
        <v>26</v>
      </c>
      <c r="B15" s="2" t="s">
        <v>28</v>
      </c>
      <c r="C15" s="88" t="s">
        <v>29</v>
      </c>
      <c r="D15" s="88"/>
      <c r="E15" s="88"/>
      <c r="F15" s="88"/>
      <c r="G15" s="88"/>
      <c r="H15" s="88"/>
      <c r="I15" s="88"/>
      <c r="J15" s="88"/>
      <c r="K15" s="88"/>
      <c r="L15" s="14">
        <f>SUMIF('Stavební rozpočet'!AZ13:AZ294,"02_3_",'Stavební rozpočet'!AV13:AV294)</f>
        <v>0</v>
      </c>
      <c r="M15" s="12" t="s">
        <v>25</v>
      </c>
      <c r="N15" s="13">
        <f t="shared" si="0"/>
        <v>0</v>
      </c>
      <c r="O15" s="2" t="s">
        <v>26</v>
      </c>
      <c r="P15" s="13">
        <f t="shared" si="1"/>
        <v>0</v>
      </c>
    </row>
    <row r="16" spans="1:16" x14ac:dyDescent="0.25">
      <c r="A16" s="1" t="s">
        <v>26</v>
      </c>
      <c r="B16" s="2" t="s">
        <v>30</v>
      </c>
      <c r="C16" s="88" t="s">
        <v>31</v>
      </c>
      <c r="D16" s="88"/>
      <c r="E16" s="88"/>
      <c r="F16" s="88"/>
      <c r="G16" s="88"/>
      <c r="H16" s="88"/>
      <c r="I16" s="88"/>
      <c r="J16" s="88"/>
      <c r="K16" s="88"/>
      <c r="L16" s="14">
        <f>SUMIF('Stavební rozpočet'!AZ13:AZ294,"02_6_",'Stavební rozpočet'!AV13:AV294)</f>
        <v>0</v>
      </c>
      <c r="M16" s="12" t="s">
        <v>25</v>
      </c>
      <c r="N16" s="13">
        <f t="shared" si="0"/>
        <v>0</v>
      </c>
      <c r="O16" s="2" t="s">
        <v>26</v>
      </c>
      <c r="P16" s="13">
        <f t="shared" si="1"/>
        <v>0</v>
      </c>
    </row>
    <row r="17" spans="1:16" x14ac:dyDescent="0.25">
      <c r="A17" s="1" t="s">
        <v>26</v>
      </c>
      <c r="B17" s="2" t="s">
        <v>32</v>
      </c>
      <c r="C17" s="88" t="s">
        <v>33</v>
      </c>
      <c r="D17" s="88"/>
      <c r="E17" s="88"/>
      <c r="F17" s="88"/>
      <c r="G17" s="88"/>
      <c r="H17" s="88"/>
      <c r="I17" s="88"/>
      <c r="J17" s="88"/>
      <c r="K17" s="88"/>
      <c r="L17" s="14">
        <f>SUMIF('Stavební rozpočet'!AZ13:AZ294,"02_71_",'Stavební rozpočet'!AV13:AV294)</f>
        <v>0</v>
      </c>
      <c r="M17" s="12" t="s">
        <v>25</v>
      </c>
      <c r="N17" s="13">
        <f t="shared" si="0"/>
        <v>0</v>
      </c>
      <c r="O17" s="2" t="s">
        <v>26</v>
      </c>
      <c r="P17" s="13">
        <f t="shared" si="1"/>
        <v>0</v>
      </c>
    </row>
    <row r="18" spans="1:16" x14ac:dyDescent="0.25">
      <c r="A18" s="1" t="s">
        <v>26</v>
      </c>
      <c r="B18" s="2" t="s">
        <v>34</v>
      </c>
      <c r="C18" s="88" t="s">
        <v>35</v>
      </c>
      <c r="D18" s="88"/>
      <c r="E18" s="88"/>
      <c r="F18" s="88"/>
      <c r="G18" s="88"/>
      <c r="H18" s="88"/>
      <c r="I18" s="88"/>
      <c r="J18" s="88"/>
      <c r="K18" s="88"/>
      <c r="L18" s="14">
        <f>SUMIF('Stavební rozpočet'!AZ13:AZ294,"02_72_",'Stavební rozpočet'!AV13:AV294)</f>
        <v>0</v>
      </c>
      <c r="M18" s="12" t="s">
        <v>25</v>
      </c>
      <c r="N18" s="13">
        <f t="shared" si="0"/>
        <v>0</v>
      </c>
      <c r="O18" s="2" t="s">
        <v>26</v>
      </c>
      <c r="P18" s="13">
        <f t="shared" si="1"/>
        <v>0</v>
      </c>
    </row>
    <row r="19" spans="1:16" x14ac:dyDescent="0.25">
      <c r="A19" s="1" t="s">
        <v>26</v>
      </c>
      <c r="B19" s="2" t="s">
        <v>36</v>
      </c>
      <c r="C19" s="88" t="s">
        <v>37</v>
      </c>
      <c r="D19" s="88"/>
      <c r="E19" s="88"/>
      <c r="F19" s="88"/>
      <c r="G19" s="88"/>
      <c r="H19" s="88"/>
      <c r="I19" s="88"/>
      <c r="J19" s="88"/>
      <c r="K19" s="88"/>
      <c r="L19" s="14">
        <f>SUMIF('Stavební rozpočet'!AZ13:AZ294,"02_73_",'Stavební rozpočet'!AV13:AV294)</f>
        <v>0</v>
      </c>
      <c r="M19" s="12" t="s">
        <v>25</v>
      </c>
      <c r="N19" s="13">
        <f t="shared" si="0"/>
        <v>0</v>
      </c>
      <c r="O19" s="2" t="s">
        <v>26</v>
      </c>
      <c r="P19" s="13">
        <f t="shared" si="1"/>
        <v>0</v>
      </c>
    </row>
    <row r="20" spans="1:16" x14ac:dyDescent="0.25">
      <c r="A20" s="1" t="s">
        <v>26</v>
      </c>
      <c r="B20" s="2" t="s">
        <v>38</v>
      </c>
      <c r="C20" s="88" t="s">
        <v>39</v>
      </c>
      <c r="D20" s="88"/>
      <c r="E20" s="88"/>
      <c r="F20" s="88"/>
      <c r="G20" s="88"/>
      <c r="H20" s="88"/>
      <c r="I20" s="88"/>
      <c r="J20" s="88"/>
      <c r="K20" s="88"/>
      <c r="L20" s="14">
        <f>SUMIF('Stavební rozpočet'!AZ13:AZ294,"02_76_",'Stavební rozpočet'!AV13:AV294)</f>
        <v>0</v>
      </c>
      <c r="M20" s="12" t="s">
        <v>25</v>
      </c>
      <c r="N20" s="13">
        <f t="shared" si="0"/>
        <v>0</v>
      </c>
      <c r="O20" s="2" t="s">
        <v>26</v>
      </c>
      <c r="P20" s="13">
        <f t="shared" si="1"/>
        <v>0</v>
      </c>
    </row>
    <row r="21" spans="1:16" x14ac:dyDescent="0.25">
      <c r="A21" s="1" t="s">
        <v>26</v>
      </c>
      <c r="B21" s="2" t="s">
        <v>40</v>
      </c>
      <c r="C21" s="88" t="s">
        <v>41</v>
      </c>
      <c r="D21" s="88"/>
      <c r="E21" s="88"/>
      <c r="F21" s="88"/>
      <c r="G21" s="88"/>
      <c r="H21" s="88"/>
      <c r="I21" s="88"/>
      <c r="J21" s="88"/>
      <c r="K21" s="88"/>
      <c r="L21" s="14">
        <f>SUMIF('Stavební rozpočet'!AZ13:AZ294,"02_77_",'Stavební rozpočet'!AV13:AV294)</f>
        <v>0</v>
      </c>
      <c r="M21" s="12" t="s">
        <v>25</v>
      </c>
      <c r="N21" s="13">
        <f t="shared" si="0"/>
        <v>0</v>
      </c>
      <c r="O21" s="2" t="s">
        <v>26</v>
      </c>
      <c r="P21" s="13">
        <f t="shared" si="1"/>
        <v>0</v>
      </c>
    </row>
    <row r="22" spans="1:16" x14ac:dyDescent="0.25">
      <c r="A22" s="1" t="s">
        <v>26</v>
      </c>
      <c r="B22" s="2" t="s">
        <v>42</v>
      </c>
      <c r="C22" s="88" t="s">
        <v>43</v>
      </c>
      <c r="D22" s="88"/>
      <c r="E22" s="88"/>
      <c r="F22" s="88"/>
      <c r="G22" s="88"/>
      <c r="H22" s="88"/>
      <c r="I22" s="88"/>
      <c r="J22" s="88"/>
      <c r="K22" s="88"/>
      <c r="L22" s="14">
        <f>SUMIF('Stavební rozpočet'!AZ13:AZ294,"02_78_",'Stavební rozpočet'!AV13:AV294)</f>
        <v>0</v>
      </c>
      <c r="M22" s="12" t="s">
        <v>25</v>
      </c>
      <c r="N22" s="13">
        <f t="shared" si="0"/>
        <v>0</v>
      </c>
      <c r="O22" s="2" t="s">
        <v>26</v>
      </c>
      <c r="P22" s="13">
        <f t="shared" si="1"/>
        <v>0</v>
      </c>
    </row>
    <row r="23" spans="1:16" x14ac:dyDescent="0.25">
      <c r="A23" s="1" t="s">
        <v>26</v>
      </c>
      <c r="B23" s="2" t="s">
        <v>44</v>
      </c>
      <c r="C23" s="88" t="s">
        <v>45</v>
      </c>
      <c r="D23" s="88"/>
      <c r="E23" s="88"/>
      <c r="F23" s="88"/>
      <c r="G23" s="88"/>
      <c r="H23" s="88"/>
      <c r="I23" s="88"/>
      <c r="J23" s="88"/>
      <c r="K23" s="88"/>
      <c r="L23" s="14">
        <f>SUMIF('Stavební rozpočet'!AZ13:AZ294,"02_9_",'Stavební rozpočet'!AV13:AV294)</f>
        <v>0</v>
      </c>
      <c r="M23" s="12" t="s">
        <v>25</v>
      </c>
      <c r="N23" s="13">
        <f t="shared" si="0"/>
        <v>0</v>
      </c>
      <c r="O23" s="2" t="s">
        <v>26</v>
      </c>
      <c r="P23" s="13">
        <f t="shared" si="1"/>
        <v>0</v>
      </c>
    </row>
    <row r="24" spans="1:16" x14ac:dyDescent="0.25">
      <c r="A24" s="1" t="s">
        <v>46</v>
      </c>
      <c r="B24" s="2" t="s">
        <v>20</v>
      </c>
      <c r="C24" s="88" t="s">
        <v>47</v>
      </c>
      <c r="D24" s="88"/>
      <c r="E24" s="88"/>
      <c r="F24" s="88"/>
      <c r="G24" s="88"/>
      <c r="H24" s="88"/>
      <c r="I24" s="88"/>
      <c r="J24" s="88"/>
      <c r="K24" s="88"/>
      <c r="L24" s="14">
        <f>'Stavební rozpočet'!I268</f>
        <v>0</v>
      </c>
      <c r="M24" s="12" t="s">
        <v>22</v>
      </c>
      <c r="N24" s="13">
        <f t="shared" si="0"/>
        <v>0</v>
      </c>
      <c r="O24" s="2" t="s">
        <v>46</v>
      </c>
      <c r="P24" s="13">
        <f t="shared" si="1"/>
        <v>0</v>
      </c>
    </row>
    <row r="25" spans="1:16" x14ac:dyDescent="0.25">
      <c r="A25" s="1" t="s">
        <v>46</v>
      </c>
      <c r="B25" s="2" t="s">
        <v>28</v>
      </c>
      <c r="C25" s="88" t="s">
        <v>29</v>
      </c>
      <c r="D25" s="88"/>
      <c r="E25" s="88"/>
      <c r="F25" s="88"/>
      <c r="G25" s="88"/>
      <c r="H25" s="88"/>
      <c r="I25" s="88"/>
      <c r="J25" s="88"/>
      <c r="K25" s="88"/>
      <c r="L25" s="14">
        <f>SUMIF('Stavební rozpočet'!AZ13:AZ294,"03_3_",'Stavební rozpočet'!AV13:AV294)</f>
        <v>0</v>
      </c>
      <c r="M25" s="12" t="s">
        <v>25</v>
      </c>
      <c r="N25" s="13">
        <f t="shared" si="0"/>
        <v>0</v>
      </c>
      <c r="O25" s="2" t="s">
        <v>46</v>
      </c>
      <c r="P25" s="13">
        <f t="shared" si="1"/>
        <v>0</v>
      </c>
    </row>
    <row r="26" spans="1:16" x14ac:dyDescent="0.25">
      <c r="A26" s="1" t="s">
        <v>46</v>
      </c>
      <c r="B26" s="2" t="s">
        <v>30</v>
      </c>
      <c r="C26" s="88" t="s">
        <v>31</v>
      </c>
      <c r="D26" s="88"/>
      <c r="E26" s="88"/>
      <c r="F26" s="88"/>
      <c r="G26" s="88"/>
      <c r="H26" s="88"/>
      <c r="I26" s="88"/>
      <c r="J26" s="88"/>
      <c r="K26" s="88"/>
      <c r="L26" s="14">
        <f>SUMIF('Stavební rozpočet'!AZ13:AZ294,"03_6_",'Stavební rozpočet'!AV13:AV294)</f>
        <v>0</v>
      </c>
      <c r="M26" s="12" t="s">
        <v>25</v>
      </c>
      <c r="N26" s="13">
        <f t="shared" si="0"/>
        <v>0</v>
      </c>
      <c r="O26" s="2" t="s">
        <v>46</v>
      </c>
      <c r="P26" s="13">
        <f t="shared" si="1"/>
        <v>0</v>
      </c>
    </row>
    <row r="27" spans="1:16" x14ac:dyDescent="0.25">
      <c r="A27" s="1" t="s">
        <v>46</v>
      </c>
      <c r="B27" s="2" t="s">
        <v>32</v>
      </c>
      <c r="C27" s="88" t="s">
        <v>33</v>
      </c>
      <c r="D27" s="88"/>
      <c r="E27" s="88"/>
      <c r="F27" s="88"/>
      <c r="G27" s="88"/>
      <c r="H27" s="88"/>
      <c r="I27" s="88"/>
      <c r="J27" s="88"/>
      <c r="K27" s="88"/>
      <c r="L27" s="14">
        <f>SUMIF('Stavební rozpočet'!AZ13:AZ294,"03_71_",'Stavební rozpočet'!AV13:AV294)</f>
        <v>0</v>
      </c>
      <c r="M27" s="12" t="s">
        <v>25</v>
      </c>
      <c r="N27" s="13">
        <f t="shared" si="0"/>
        <v>0</v>
      </c>
      <c r="O27" s="2" t="s">
        <v>46</v>
      </c>
      <c r="P27" s="13">
        <f t="shared" si="1"/>
        <v>0</v>
      </c>
    </row>
    <row r="28" spans="1:16" x14ac:dyDescent="0.25">
      <c r="A28" s="1" t="s">
        <v>46</v>
      </c>
      <c r="B28" s="2" t="s">
        <v>36</v>
      </c>
      <c r="C28" s="88" t="s">
        <v>37</v>
      </c>
      <c r="D28" s="88"/>
      <c r="E28" s="88"/>
      <c r="F28" s="88"/>
      <c r="G28" s="88"/>
      <c r="H28" s="88"/>
      <c r="I28" s="88"/>
      <c r="J28" s="88"/>
      <c r="K28" s="88"/>
      <c r="L28" s="14">
        <f>SUMIF('Stavební rozpočet'!AZ13:AZ294,"03_73_",'Stavební rozpočet'!AV13:AV294)</f>
        <v>0</v>
      </c>
      <c r="M28" s="12" t="s">
        <v>25</v>
      </c>
      <c r="N28" s="13">
        <f t="shared" si="0"/>
        <v>0</v>
      </c>
      <c r="O28" s="2" t="s">
        <v>46</v>
      </c>
      <c r="P28" s="13">
        <f t="shared" si="1"/>
        <v>0</v>
      </c>
    </row>
    <row r="29" spans="1:16" x14ac:dyDescent="0.25">
      <c r="A29" s="1" t="s">
        <v>46</v>
      </c>
      <c r="B29" s="2" t="s">
        <v>42</v>
      </c>
      <c r="C29" s="88" t="s">
        <v>43</v>
      </c>
      <c r="D29" s="88"/>
      <c r="E29" s="88"/>
      <c r="F29" s="88"/>
      <c r="G29" s="88"/>
      <c r="H29" s="88"/>
      <c r="I29" s="88"/>
      <c r="J29" s="88"/>
      <c r="K29" s="88"/>
      <c r="L29" s="14">
        <f>SUMIF('Stavební rozpočet'!AZ13:AZ294,"03_78_",'Stavební rozpočet'!AV13:AV294)</f>
        <v>0</v>
      </c>
      <c r="M29" s="12" t="s">
        <v>25</v>
      </c>
      <c r="N29" s="13">
        <f t="shared" si="0"/>
        <v>0</v>
      </c>
      <c r="O29" s="2" t="s">
        <v>46</v>
      </c>
      <c r="P29" s="13">
        <f t="shared" si="1"/>
        <v>0</v>
      </c>
    </row>
    <row r="30" spans="1:16" x14ac:dyDescent="0.25">
      <c r="A30" s="15" t="s">
        <v>46</v>
      </c>
      <c r="B30" s="16" t="s">
        <v>44</v>
      </c>
      <c r="C30" s="107" t="s">
        <v>45</v>
      </c>
      <c r="D30" s="107"/>
      <c r="E30" s="107"/>
      <c r="F30" s="107"/>
      <c r="G30" s="107"/>
      <c r="H30" s="107"/>
      <c r="I30" s="107"/>
      <c r="J30" s="107"/>
      <c r="K30" s="107"/>
      <c r="L30" s="17">
        <f>SUMIF('Stavební rozpočet'!AZ13:AZ294,"03_9_",'Stavební rozpočet'!AV13:AV294)</f>
        <v>0</v>
      </c>
      <c r="M30" s="12" t="s">
        <v>25</v>
      </c>
      <c r="N30" s="13">
        <f t="shared" si="0"/>
        <v>0</v>
      </c>
      <c r="O30" s="2" t="s">
        <v>46</v>
      </c>
      <c r="P30" s="13">
        <f t="shared" si="1"/>
        <v>0</v>
      </c>
    </row>
    <row r="31" spans="1:16" x14ac:dyDescent="0.25">
      <c r="J31" s="108" t="s">
        <v>48</v>
      </c>
      <c r="K31" s="108"/>
      <c r="L31" s="18">
        <f>ROUND(SUM(N12:N30),0)</f>
        <v>0</v>
      </c>
    </row>
    <row r="32" spans="1:16" x14ac:dyDescent="0.25">
      <c r="A32" s="19" t="s">
        <v>49</v>
      </c>
    </row>
    <row r="33" spans="1:12" ht="40.5" customHeight="1" x14ac:dyDescent="0.25">
      <c r="A33" s="95" t="s">
        <v>50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</row>
  </sheetData>
  <sheetProtection password="C665" sheet="1"/>
  <mergeCells count="48">
    <mergeCell ref="J31:K31"/>
    <mergeCell ref="A33:L33"/>
    <mergeCell ref="C26:K26"/>
    <mergeCell ref="C27:K27"/>
    <mergeCell ref="C28:K28"/>
    <mergeCell ref="C29:K29"/>
    <mergeCell ref="C30:K30"/>
    <mergeCell ref="C21:K21"/>
    <mergeCell ref="C22:K22"/>
    <mergeCell ref="C23:K23"/>
    <mergeCell ref="C24:K24"/>
    <mergeCell ref="C25:K25"/>
    <mergeCell ref="C16:K16"/>
    <mergeCell ref="C17:K17"/>
    <mergeCell ref="C18:K18"/>
    <mergeCell ref="C19:K19"/>
    <mergeCell ref="C20:K20"/>
    <mergeCell ref="C11:K11"/>
    <mergeCell ref="C12:K12"/>
    <mergeCell ref="C13:K13"/>
    <mergeCell ref="C14:K14"/>
    <mergeCell ref="C15:K15"/>
    <mergeCell ref="J2:L3"/>
    <mergeCell ref="J4:L5"/>
    <mergeCell ref="J6:L7"/>
    <mergeCell ref="J8:L9"/>
    <mergeCell ref="C10:K10"/>
    <mergeCell ref="H8:H9"/>
    <mergeCell ref="I2:I3"/>
    <mergeCell ref="I4:I5"/>
    <mergeCell ref="I6:I7"/>
    <mergeCell ref="I8:I9"/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16" t="s">
        <v>759</v>
      </c>
      <c r="B1" s="84"/>
      <c r="C1" s="84"/>
      <c r="D1" s="84"/>
      <c r="E1" s="84"/>
      <c r="F1" s="84"/>
      <c r="G1" s="84"/>
      <c r="H1" s="84"/>
      <c r="I1" s="84"/>
    </row>
    <row r="2" spans="1:9" x14ac:dyDescent="0.25">
      <c r="A2" s="85" t="s">
        <v>1</v>
      </c>
      <c r="B2" s="86"/>
      <c r="C2" s="92" t="str">
        <f>'Stavební rozpočet'!D2</f>
        <v>Stavební úpravy hygienického zázemí pedagogických pracovníků ve 2NP, ZŠ Smetanův okruh 24/4, Krnov</v>
      </c>
      <c r="D2" s="93"/>
      <c r="E2" s="96" t="s">
        <v>3</v>
      </c>
      <c r="F2" s="96" t="str">
        <f>'Stavební rozpočet'!J2</f>
        <v>Město Krnov</v>
      </c>
      <c r="G2" s="86"/>
      <c r="H2" s="96" t="s">
        <v>713</v>
      </c>
      <c r="I2" s="97" t="s">
        <v>714</v>
      </c>
    </row>
    <row r="3" spans="1:9" ht="39" customHeight="1" x14ac:dyDescent="0.25">
      <c r="A3" s="87"/>
      <c r="B3" s="88"/>
      <c r="C3" s="94"/>
      <c r="D3" s="94"/>
      <c r="E3" s="88"/>
      <c r="F3" s="88"/>
      <c r="G3" s="88"/>
      <c r="H3" s="88"/>
      <c r="I3" s="98"/>
    </row>
    <row r="4" spans="1:9" x14ac:dyDescent="0.25">
      <c r="A4" s="89" t="s">
        <v>4</v>
      </c>
      <c r="B4" s="88"/>
      <c r="C4" s="95" t="str">
        <f>'Stavební rozpočet'!D4</f>
        <v xml:space="preserve"> </v>
      </c>
      <c r="D4" s="88"/>
      <c r="E4" s="95" t="s">
        <v>6</v>
      </c>
      <c r="F4" s="95" t="str">
        <f>'Stavební rozpočet'!J4</f>
        <v>Radovan Zatloukal</v>
      </c>
      <c r="G4" s="88"/>
      <c r="H4" s="95" t="s">
        <v>713</v>
      </c>
      <c r="I4" s="98" t="s">
        <v>715</v>
      </c>
    </row>
    <row r="5" spans="1:9" ht="15" customHeight="1" x14ac:dyDescent="0.25">
      <c r="A5" s="87"/>
      <c r="B5" s="88"/>
      <c r="C5" s="88"/>
      <c r="D5" s="88"/>
      <c r="E5" s="88"/>
      <c r="F5" s="88"/>
      <c r="G5" s="88"/>
      <c r="H5" s="88"/>
      <c r="I5" s="98"/>
    </row>
    <row r="6" spans="1:9" x14ac:dyDescent="0.25">
      <c r="A6" s="89" t="s">
        <v>7</v>
      </c>
      <c r="B6" s="88"/>
      <c r="C6" s="95" t="str">
        <f>'Stavební rozpočet'!D6</f>
        <v>k.ú. Krnov- Horní Předměstí [674737]</v>
      </c>
      <c r="D6" s="88"/>
      <c r="E6" s="95" t="s">
        <v>9</v>
      </c>
      <c r="F6" s="95" t="str">
        <f>'Stavební rozpočet'!J6</f>
        <v> </v>
      </c>
      <c r="G6" s="88"/>
      <c r="H6" s="95" t="s">
        <v>713</v>
      </c>
      <c r="I6" s="98" t="s">
        <v>20</v>
      </c>
    </row>
    <row r="7" spans="1:9" ht="15" customHeight="1" x14ac:dyDescent="0.25">
      <c r="A7" s="87"/>
      <c r="B7" s="88"/>
      <c r="C7" s="88"/>
      <c r="D7" s="88"/>
      <c r="E7" s="88"/>
      <c r="F7" s="88"/>
      <c r="G7" s="88"/>
      <c r="H7" s="88"/>
      <c r="I7" s="98"/>
    </row>
    <row r="8" spans="1:9" x14ac:dyDescent="0.25">
      <c r="A8" s="89" t="s">
        <v>5</v>
      </c>
      <c r="B8" s="88"/>
      <c r="C8" s="95" t="str">
        <f>'Stavební rozpočet'!H4</f>
        <v xml:space="preserve"> </v>
      </c>
      <c r="D8" s="88"/>
      <c r="E8" s="95" t="s">
        <v>8</v>
      </c>
      <c r="F8" s="95" t="str">
        <f>'Stavební rozpočet'!H6</f>
        <v xml:space="preserve"> </v>
      </c>
      <c r="G8" s="88"/>
      <c r="H8" s="88" t="s">
        <v>716</v>
      </c>
      <c r="I8" s="118">
        <v>188</v>
      </c>
    </row>
    <row r="9" spans="1:9" x14ac:dyDescent="0.25">
      <c r="A9" s="87"/>
      <c r="B9" s="88"/>
      <c r="C9" s="88"/>
      <c r="D9" s="88"/>
      <c r="E9" s="88"/>
      <c r="F9" s="88"/>
      <c r="G9" s="88"/>
      <c r="H9" s="88"/>
      <c r="I9" s="98"/>
    </row>
    <row r="10" spans="1:9" x14ac:dyDescent="0.25">
      <c r="A10" s="89" t="s">
        <v>10</v>
      </c>
      <c r="B10" s="88"/>
      <c r="C10" s="95" t="str">
        <f>'Stavební rozpočet'!D8</f>
        <v xml:space="preserve"> </v>
      </c>
      <c r="D10" s="88"/>
      <c r="E10" s="95" t="s">
        <v>12</v>
      </c>
      <c r="F10" s="95" t="str">
        <f>'Stavební rozpočet'!J8</f>
        <v>Kamil Beck</v>
      </c>
      <c r="G10" s="88"/>
      <c r="H10" s="88" t="s">
        <v>717</v>
      </c>
      <c r="I10" s="119" t="str">
        <f>'Stavební rozpočet'!H8</f>
        <v>01.03.2024</v>
      </c>
    </row>
    <row r="11" spans="1:9" x14ac:dyDescent="0.25">
      <c r="A11" s="117"/>
      <c r="B11" s="107"/>
      <c r="C11" s="107"/>
      <c r="D11" s="107"/>
      <c r="E11" s="107"/>
      <c r="F11" s="107"/>
      <c r="G11" s="107"/>
      <c r="H11" s="107"/>
      <c r="I11" s="120"/>
    </row>
    <row r="13" spans="1:9" ht="15.75" x14ac:dyDescent="0.25">
      <c r="A13" s="154" t="s">
        <v>760</v>
      </c>
      <c r="B13" s="154"/>
      <c r="C13" s="154"/>
      <c r="D13" s="154"/>
      <c r="E13" s="154"/>
    </row>
    <row r="14" spans="1:9" x14ac:dyDescent="0.25">
      <c r="A14" s="155" t="s">
        <v>761</v>
      </c>
      <c r="B14" s="156"/>
      <c r="C14" s="156"/>
      <c r="D14" s="156"/>
      <c r="E14" s="157"/>
      <c r="F14" s="53" t="s">
        <v>762</v>
      </c>
      <c r="G14" s="53" t="s">
        <v>231</v>
      </c>
      <c r="H14" s="53" t="s">
        <v>763</v>
      </c>
      <c r="I14" s="53" t="s">
        <v>762</v>
      </c>
    </row>
    <row r="15" spans="1:9" x14ac:dyDescent="0.25">
      <c r="A15" s="158" t="s">
        <v>727</v>
      </c>
      <c r="B15" s="159"/>
      <c r="C15" s="159"/>
      <c r="D15" s="159"/>
      <c r="E15" s="160"/>
      <c r="F15" s="54">
        <v>0</v>
      </c>
      <c r="G15" s="55" t="s">
        <v>20</v>
      </c>
      <c r="H15" s="55" t="s">
        <v>20</v>
      </c>
      <c r="I15" s="54">
        <f>F15</f>
        <v>0</v>
      </c>
    </row>
    <row r="16" spans="1:9" x14ac:dyDescent="0.25">
      <c r="A16" s="158" t="s">
        <v>730</v>
      </c>
      <c r="B16" s="159"/>
      <c r="C16" s="159"/>
      <c r="D16" s="159"/>
      <c r="E16" s="160"/>
      <c r="F16" s="54">
        <v>0</v>
      </c>
      <c r="G16" s="55" t="s">
        <v>20</v>
      </c>
      <c r="H16" s="55" t="s">
        <v>20</v>
      </c>
      <c r="I16" s="54">
        <f>F16</f>
        <v>0</v>
      </c>
    </row>
    <row r="17" spans="1:9" x14ac:dyDescent="0.25">
      <c r="A17" s="161" t="s">
        <v>733</v>
      </c>
      <c r="B17" s="162"/>
      <c r="C17" s="162"/>
      <c r="D17" s="162"/>
      <c r="E17" s="163"/>
      <c r="F17" s="56">
        <v>0</v>
      </c>
      <c r="G17" s="57" t="s">
        <v>20</v>
      </c>
      <c r="H17" s="57" t="s">
        <v>20</v>
      </c>
      <c r="I17" s="56">
        <f>F17</f>
        <v>0</v>
      </c>
    </row>
    <row r="18" spans="1:9" x14ac:dyDescent="0.25">
      <c r="A18" s="164" t="s">
        <v>764</v>
      </c>
      <c r="B18" s="165"/>
      <c r="C18" s="165"/>
      <c r="D18" s="165"/>
      <c r="E18" s="166"/>
      <c r="F18" s="58" t="s">
        <v>20</v>
      </c>
      <c r="G18" s="59" t="s">
        <v>20</v>
      </c>
      <c r="H18" s="59" t="s">
        <v>20</v>
      </c>
      <c r="I18" s="60">
        <f>SUM(I15:I17)</f>
        <v>0</v>
      </c>
    </row>
    <row r="20" spans="1:9" x14ac:dyDescent="0.25">
      <c r="A20" s="155" t="s">
        <v>724</v>
      </c>
      <c r="B20" s="156"/>
      <c r="C20" s="156"/>
      <c r="D20" s="156"/>
      <c r="E20" s="157"/>
      <c r="F20" s="53" t="s">
        <v>762</v>
      </c>
      <c r="G20" s="53" t="s">
        <v>231</v>
      </c>
      <c r="H20" s="53" t="s">
        <v>763</v>
      </c>
      <c r="I20" s="53" t="s">
        <v>762</v>
      </c>
    </row>
    <row r="21" spans="1:9" x14ac:dyDescent="0.25">
      <c r="A21" s="158" t="s">
        <v>728</v>
      </c>
      <c r="B21" s="159"/>
      <c r="C21" s="159"/>
      <c r="D21" s="159"/>
      <c r="E21" s="160"/>
      <c r="F21" s="54">
        <v>0</v>
      </c>
      <c r="G21" s="55" t="s">
        <v>20</v>
      </c>
      <c r="H21" s="55" t="s">
        <v>20</v>
      </c>
      <c r="I21" s="54">
        <f t="shared" ref="I21:I26" si="0">F21</f>
        <v>0</v>
      </c>
    </row>
    <row r="22" spans="1:9" x14ac:dyDescent="0.25">
      <c r="A22" s="158" t="s">
        <v>731</v>
      </c>
      <c r="B22" s="159"/>
      <c r="C22" s="159"/>
      <c r="D22" s="159"/>
      <c r="E22" s="160"/>
      <c r="F22" s="54">
        <v>0</v>
      </c>
      <c r="G22" s="55" t="s">
        <v>20</v>
      </c>
      <c r="H22" s="55" t="s">
        <v>20</v>
      </c>
      <c r="I22" s="54">
        <f t="shared" si="0"/>
        <v>0</v>
      </c>
    </row>
    <row r="23" spans="1:9" x14ac:dyDescent="0.25">
      <c r="A23" s="158" t="s">
        <v>734</v>
      </c>
      <c r="B23" s="159"/>
      <c r="C23" s="159"/>
      <c r="D23" s="159"/>
      <c r="E23" s="160"/>
      <c r="F23" s="54">
        <v>0</v>
      </c>
      <c r="G23" s="55" t="s">
        <v>20</v>
      </c>
      <c r="H23" s="55" t="s">
        <v>20</v>
      </c>
      <c r="I23" s="54">
        <f t="shared" si="0"/>
        <v>0</v>
      </c>
    </row>
    <row r="24" spans="1:9" x14ac:dyDescent="0.25">
      <c r="A24" s="158" t="s">
        <v>735</v>
      </c>
      <c r="B24" s="159"/>
      <c r="C24" s="159"/>
      <c r="D24" s="159"/>
      <c r="E24" s="160"/>
      <c r="F24" s="54">
        <v>0</v>
      </c>
      <c r="G24" s="55" t="s">
        <v>20</v>
      </c>
      <c r="H24" s="55" t="s">
        <v>20</v>
      </c>
      <c r="I24" s="54">
        <f t="shared" si="0"/>
        <v>0</v>
      </c>
    </row>
    <row r="25" spans="1:9" x14ac:dyDescent="0.25">
      <c r="A25" s="158" t="s">
        <v>737</v>
      </c>
      <c r="B25" s="159"/>
      <c r="C25" s="159"/>
      <c r="D25" s="159"/>
      <c r="E25" s="160"/>
      <c r="F25" s="54">
        <v>0</v>
      </c>
      <c r="G25" s="55" t="s">
        <v>20</v>
      </c>
      <c r="H25" s="55" t="s">
        <v>20</v>
      </c>
      <c r="I25" s="54">
        <f t="shared" si="0"/>
        <v>0</v>
      </c>
    </row>
    <row r="26" spans="1:9" x14ac:dyDescent="0.25">
      <c r="A26" s="161" t="s">
        <v>738</v>
      </c>
      <c r="B26" s="162"/>
      <c r="C26" s="162"/>
      <c r="D26" s="162"/>
      <c r="E26" s="163"/>
      <c r="F26" s="56">
        <v>0</v>
      </c>
      <c r="G26" s="57" t="s">
        <v>20</v>
      </c>
      <c r="H26" s="57" t="s">
        <v>20</v>
      </c>
      <c r="I26" s="56">
        <f t="shared" si="0"/>
        <v>0</v>
      </c>
    </row>
    <row r="27" spans="1:9" x14ac:dyDescent="0.25">
      <c r="A27" s="164" t="s">
        <v>765</v>
      </c>
      <c r="B27" s="165"/>
      <c r="C27" s="165"/>
      <c r="D27" s="165"/>
      <c r="E27" s="166"/>
      <c r="F27" s="58" t="s">
        <v>20</v>
      </c>
      <c r="G27" s="59" t="s">
        <v>20</v>
      </c>
      <c r="H27" s="59" t="s">
        <v>20</v>
      </c>
      <c r="I27" s="60">
        <f>SUM(I21:I26)</f>
        <v>0</v>
      </c>
    </row>
    <row r="29" spans="1:9" ht="15.75" x14ac:dyDescent="0.25">
      <c r="A29" s="167" t="s">
        <v>766</v>
      </c>
      <c r="B29" s="168"/>
      <c r="C29" s="168"/>
      <c r="D29" s="168"/>
      <c r="E29" s="169"/>
      <c r="F29" s="170">
        <f>I18+I27</f>
        <v>0</v>
      </c>
      <c r="G29" s="171"/>
      <c r="H29" s="171"/>
      <c r="I29" s="172"/>
    </row>
    <row r="33" spans="1:9" ht="15.75" x14ac:dyDescent="0.25">
      <c r="A33" s="154" t="s">
        <v>767</v>
      </c>
      <c r="B33" s="154"/>
      <c r="C33" s="154"/>
      <c r="D33" s="154"/>
      <c r="E33" s="154"/>
    </row>
    <row r="34" spans="1:9" x14ac:dyDescent="0.25">
      <c r="A34" s="155" t="s">
        <v>768</v>
      </c>
      <c r="B34" s="156"/>
      <c r="C34" s="156"/>
      <c r="D34" s="156"/>
      <c r="E34" s="157"/>
      <c r="F34" s="53" t="s">
        <v>762</v>
      </c>
      <c r="G34" s="53" t="s">
        <v>231</v>
      </c>
      <c r="H34" s="53" t="s">
        <v>763</v>
      </c>
      <c r="I34" s="53" t="s">
        <v>762</v>
      </c>
    </row>
    <row r="35" spans="1:9" x14ac:dyDescent="0.25">
      <c r="A35" s="161" t="s">
        <v>20</v>
      </c>
      <c r="B35" s="162"/>
      <c r="C35" s="162"/>
      <c r="D35" s="162"/>
      <c r="E35" s="163"/>
      <c r="F35" s="56">
        <v>0</v>
      </c>
      <c r="G35" s="57" t="s">
        <v>20</v>
      </c>
      <c r="H35" s="57" t="s">
        <v>20</v>
      </c>
      <c r="I35" s="56">
        <f>F35</f>
        <v>0</v>
      </c>
    </row>
    <row r="36" spans="1:9" x14ac:dyDescent="0.25">
      <c r="A36" s="164" t="s">
        <v>769</v>
      </c>
      <c r="B36" s="165"/>
      <c r="C36" s="165"/>
      <c r="D36" s="165"/>
      <c r="E36" s="166"/>
      <c r="F36" s="58" t="s">
        <v>20</v>
      </c>
      <c r="G36" s="59" t="s">
        <v>20</v>
      </c>
      <c r="H36" s="59" t="s">
        <v>20</v>
      </c>
      <c r="I36" s="60">
        <f>SUM(I35:I35)</f>
        <v>0</v>
      </c>
    </row>
  </sheetData>
  <sheetProtection password="C665" sheet="1"/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W297"/>
  <sheetViews>
    <sheetView workbookViewId="0">
      <pane ySplit="11" topLeftCell="A12" activePane="bottomLeft" state="frozen"/>
      <selection pane="bottomLeft" activeCell="A297" sqref="A297:K297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42.85546875" customWidth="1"/>
    <col min="5" max="5" width="35.7109375" customWidth="1"/>
    <col min="6" max="6" width="6.42578125" customWidth="1"/>
    <col min="7" max="7" width="12.85546875" customWidth="1"/>
    <col min="8" max="8" width="12" customWidth="1"/>
    <col min="9" max="9" width="15.7109375" customWidth="1"/>
    <col min="25" max="75" width="12.140625" hidden="1"/>
  </cols>
  <sheetData>
    <row r="1" spans="1:75" ht="54.75" customHeight="1" x14ac:dyDescent="0.25">
      <c r="A1" s="84" t="s">
        <v>770</v>
      </c>
      <c r="B1" s="84"/>
      <c r="C1" s="84"/>
      <c r="D1" s="84"/>
      <c r="E1" s="84"/>
      <c r="F1" s="84"/>
      <c r="G1" s="84"/>
      <c r="H1" s="84"/>
      <c r="I1" s="84"/>
      <c r="J1" s="84"/>
      <c r="K1" s="84"/>
      <c r="AS1" s="61">
        <f>SUM(AJ1:AJ2)</f>
        <v>0</v>
      </c>
      <c r="AT1" s="61">
        <f>SUM(AK1:AK2)</f>
        <v>0</v>
      </c>
      <c r="AU1" s="61">
        <f>SUM(AL1:AL2)</f>
        <v>0</v>
      </c>
    </row>
    <row r="2" spans="1:75" x14ac:dyDescent="0.25">
      <c r="A2" s="85" t="s">
        <v>1</v>
      </c>
      <c r="B2" s="86"/>
      <c r="C2" s="86"/>
      <c r="D2" s="92" t="s">
        <v>771</v>
      </c>
      <c r="E2" s="93"/>
      <c r="F2" s="86" t="s">
        <v>2</v>
      </c>
      <c r="G2" s="86"/>
      <c r="H2" s="173" t="s">
        <v>13</v>
      </c>
      <c r="I2" s="96" t="s">
        <v>3</v>
      </c>
      <c r="J2" s="96" t="s">
        <v>772</v>
      </c>
      <c r="K2" s="97"/>
    </row>
    <row r="3" spans="1:75" x14ac:dyDescent="0.25">
      <c r="A3" s="87"/>
      <c r="B3" s="88"/>
      <c r="C3" s="88"/>
      <c r="D3" s="94"/>
      <c r="E3" s="94"/>
      <c r="F3" s="88"/>
      <c r="G3" s="88"/>
      <c r="H3" s="174"/>
      <c r="I3" s="88"/>
      <c r="J3" s="88"/>
      <c r="K3" s="98"/>
    </row>
    <row r="4" spans="1:75" x14ac:dyDescent="0.25">
      <c r="A4" s="89" t="s">
        <v>4</v>
      </c>
      <c r="B4" s="88"/>
      <c r="C4" s="88"/>
      <c r="D4" s="95" t="s">
        <v>13</v>
      </c>
      <c r="E4" s="88"/>
      <c r="F4" s="88" t="s">
        <v>5</v>
      </c>
      <c r="G4" s="88"/>
      <c r="H4" s="174" t="s">
        <v>13</v>
      </c>
      <c r="I4" s="95" t="s">
        <v>6</v>
      </c>
      <c r="J4" s="95" t="s">
        <v>773</v>
      </c>
      <c r="K4" s="98"/>
    </row>
    <row r="5" spans="1:75" x14ac:dyDescent="0.25">
      <c r="A5" s="87"/>
      <c r="B5" s="88"/>
      <c r="C5" s="88"/>
      <c r="D5" s="88"/>
      <c r="E5" s="88"/>
      <c r="F5" s="88"/>
      <c r="G5" s="88"/>
      <c r="H5" s="174"/>
      <c r="I5" s="88"/>
      <c r="J5" s="88"/>
      <c r="K5" s="98"/>
    </row>
    <row r="6" spans="1:75" x14ac:dyDescent="0.25">
      <c r="A6" s="89" t="s">
        <v>7</v>
      </c>
      <c r="B6" s="88"/>
      <c r="C6" s="88"/>
      <c r="D6" s="95" t="s">
        <v>774</v>
      </c>
      <c r="E6" s="88"/>
      <c r="F6" s="88" t="s">
        <v>8</v>
      </c>
      <c r="G6" s="88"/>
      <c r="H6" s="174" t="s">
        <v>13</v>
      </c>
      <c r="I6" s="95" t="s">
        <v>9</v>
      </c>
      <c r="J6" s="174" t="s">
        <v>775</v>
      </c>
      <c r="K6" s="176"/>
    </row>
    <row r="7" spans="1:75" x14ac:dyDescent="0.25">
      <c r="A7" s="87"/>
      <c r="B7" s="88"/>
      <c r="C7" s="88"/>
      <c r="D7" s="88"/>
      <c r="E7" s="88"/>
      <c r="F7" s="88"/>
      <c r="G7" s="88"/>
      <c r="H7" s="174"/>
      <c r="I7" s="88"/>
      <c r="J7" s="174"/>
      <c r="K7" s="176"/>
    </row>
    <row r="8" spans="1:75" x14ac:dyDescent="0.25">
      <c r="A8" s="89" t="s">
        <v>10</v>
      </c>
      <c r="B8" s="88"/>
      <c r="C8" s="88"/>
      <c r="D8" s="95" t="s">
        <v>13</v>
      </c>
      <c r="E8" s="88"/>
      <c r="F8" s="88" t="s">
        <v>11</v>
      </c>
      <c r="G8" s="88"/>
      <c r="H8" s="174" t="s">
        <v>776</v>
      </c>
      <c r="I8" s="95" t="s">
        <v>12</v>
      </c>
      <c r="J8" s="177" t="s">
        <v>777</v>
      </c>
      <c r="K8" s="176"/>
    </row>
    <row r="9" spans="1:75" x14ac:dyDescent="0.25">
      <c r="A9" s="90"/>
      <c r="B9" s="91"/>
      <c r="C9" s="91"/>
      <c r="D9" s="91"/>
      <c r="E9" s="91"/>
      <c r="F9" s="91"/>
      <c r="G9" s="91"/>
      <c r="H9" s="175"/>
      <c r="I9" s="91"/>
      <c r="J9" s="178"/>
      <c r="K9" s="179"/>
    </row>
    <row r="10" spans="1:75" x14ac:dyDescent="0.25">
      <c r="A10" s="62" t="s">
        <v>53</v>
      </c>
      <c r="B10" s="63" t="s">
        <v>15</v>
      </c>
      <c r="C10" s="63" t="s">
        <v>16</v>
      </c>
      <c r="D10" s="180" t="s">
        <v>54</v>
      </c>
      <c r="E10" s="181"/>
      <c r="F10" s="63" t="s">
        <v>55</v>
      </c>
      <c r="G10" s="64" t="s">
        <v>56</v>
      </c>
      <c r="H10" s="65" t="s">
        <v>778</v>
      </c>
      <c r="I10" s="5" t="s">
        <v>14</v>
      </c>
      <c r="K10" s="66"/>
      <c r="BK10" s="30" t="s">
        <v>779</v>
      </c>
      <c r="BL10" s="67" t="s">
        <v>780</v>
      </c>
      <c r="BW10" s="67" t="s">
        <v>781</v>
      </c>
    </row>
    <row r="11" spans="1:75" x14ac:dyDescent="0.25">
      <c r="A11" s="68" t="s">
        <v>13</v>
      </c>
      <c r="B11" s="69" t="s">
        <v>13</v>
      </c>
      <c r="C11" s="69" t="s">
        <v>13</v>
      </c>
      <c r="D11" s="103" t="s">
        <v>782</v>
      </c>
      <c r="E11" s="105"/>
      <c r="F11" s="69" t="s">
        <v>13</v>
      </c>
      <c r="G11" s="69" t="s">
        <v>13</v>
      </c>
      <c r="H11" s="70" t="s">
        <v>783</v>
      </c>
      <c r="I11" s="8" t="s">
        <v>18</v>
      </c>
      <c r="K11" s="34"/>
      <c r="Z11" s="30" t="s">
        <v>784</v>
      </c>
      <c r="AA11" s="30" t="s">
        <v>785</v>
      </c>
      <c r="AB11" s="30" t="s">
        <v>786</v>
      </c>
      <c r="AC11" s="30" t="s">
        <v>787</v>
      </c>
      <c r="AD11" s="30" t="s">
        <v>788</v>
      </c>
      <c r="AE11" s="30" t="s">
        <v>789</v>
      </c>
      <c r="AF11" s="30" t="s">
        <v>790</v>
      </c>
      <c r="AG11" s="30" t="s">
        <v>791</v>
      </c>
      <c r="AH11" s="30" t="s">
        <v>792</v>
      </c>
      <c r="BH11" s="30" t="s">
        <v>793</v>
      </c>
      <c r="BI11" s="30" t="s">
        <v>794</v>
      </c>
      <c r="BJ11" s="30" t="s">
        <v>795</v>
      </c>
    </row>
    <row r="12" spans="1:75" x14ac:dyDescent="0.25">
      <c r="A12" s="71" t="s">
        <v>20</v>
      </c>
      <c r="B12" s="25" t="s">
        <v>19</v>
      </c>
      <c r="C12" s="25" t="s">
        <v>20</v>
      </c>
      <c r="D12" s="182" t="s">
        <v>21</v>
      </c>
      <c r="E12" s="111"/>
      <c r="F12" s="72" t="s">
        <v>13</v>
      </c>
      <c r="G12" s="72" t="s">
        <v>13</v>
      </c>
      <c r="H12" s="73" t="s">
        <v>13</v>
      </c>
      <c r="I12" s="74">
        <f>I13</f>
        <v>0</v>
      </c>
      <c r="K12" s="34"/>
    </row>
    <row r="13" spans="1:75" x14ac:dyDescent="0.25">
      <c r="A13" s="75" t="s">
        <v>20</v>
      </c>
      <c r="B13" s="29" t="s">
        <v>19</v>
      </c>
      <c r="C13" s="29" t="s">
        <v>58</v>
      </c>
      <c r="D13" s="183" t="s">
        <v>21</v>
      </c>
      <c r="E13" s="112"/>
      <c r="F13" s="76" t="s">
        <v>13</v>
      </c>
      <c r="G13" s="76" t="s">
        <v>13</v>
      </c>
      <c r="H13" s="77" t="s">
        <v>13</v>
      </c>
      <c r="I13" s="61">
        <f>SUM(I14:I26)</f>
        <v>0</v>
      </c>
      <c r="K13" s="34"/>
      <c r="AI13" s="30" t="s">
        <v>19</v>
      </c>
      <c r="AS13" s="61">
        <f>SUM(AJ14:AJ26)</f>
        <v>0</v>
      </c>
      <c r="AT13" s="61">
        <f>SUM(AK14:AK26)</f>
        <v>0</v>
      </c>
      <c r="AU13" s="61">
        <f>SUM(AL14:AL26)</f>
        <v>0</v>
      </c>
    </row>
    <row r="14" spans="1:75" ht="27" customHeight="1" x14ac:dyDescent="0.25">
      <c r="A14" s="1" t="s">
        <v>23</v>
      </c>
      <c r="B14" s="2" t="s">
        <v>19</v>
      </c>
      <c r="C14" s="2" t="s">
        <v>59</v>
      </c>
      <c r="D14" s="95" t="s">
        <v>60</v>
      </c>
      <c r="E14" s="88"/>
      <c r="F14" s="2" t="s">
        <v>61</v>
      </c>
      <c r="G14" s="13">
        <v>1</v>
      </c>
      <c r="H14" s="78">
        <v>0</v>
      </c>
      <c r="I14" s="13">
        <f t="shared" ref="I14:I22" si="0">G14*H14</f>
        <v>0</v>
      </c>
      <c r="K14" s="34"/>
      <c r="Z14" s="13">
        <f t="shared" ref="Z14:Z22" si="1">IF(AQ14="5",BJ14,0)</f>
        <v>0</v>
      </c>
      <c r="AB14" s="13">
        <f t="shared" ref="AB14:AB22" si="2">IF(AQ14="1",BH14,0)</f>
        <v>0</v>
      </c>
      <c r="AC14" s="13">
        <f t="shared" ref="AC14:AC22" si="3">IF(AQ14="1",BI14,0)</f>
        <v>0</v>
      </c>
      <c r="AD14" s="13">
        <f t="shared" ref="AD14:AD22" si="4">IF(AQ14="7",BH14,0)</f>
        <v>0</v>
      </c>
      <c r="AE14" s="13">
        <f t="shared" ref="AE14:AE22" si="5">IF(AQ14="7",BI14,0)</f>
        <v>0</v>
      </c>
      <c r="AF14" s="13">
        <f t="shared" ref="AF14:AF22" si="6">IF(AQ14="2",BH14,0)</f>
        <v>0</v>
      </c>
      <c r="AG14" s="13">
        <f t="shared" ref="AG14:AG22" si="7">IF(AQ14="2",BI14,0)</f>
        <v>0</v>
      </c>
      <c r="AH14" s="13">
        <f t="shared" ref="AH14:AH22" si="8">IF(AQ14="0",BJ14,0)</f>
        <v>0</v>
      </c>
      <c r="AI14" s="30" t="s">
        <v>19</v>
      </c>
      <c r="AJ14" s="13">
        <f t="shared" ref="AJ14:AJ22" si="9">IF(AN14=0,I14,0)</f>
        <v>0</v>
      </c>
      <c r="AK14" s="13">
        <f t="shared" ref="AK14:AK22" si="10">IF(AN14=12,I14,0)</f>
        <v>0</v>
      </c>
      <c r="AL14" s="13">
        <f t="shared" ref="AL14:AL22" si="11">IF(AN14=21,I14,0)</f>
        <v>0</v>
      </c>
      <c r="AN14" s="13">
        <v>21</v>
      </c>
      <c r="AO14" s="13">
        <f t="shared" ref="AO14:AO22" si="12">H14*0</f>
        <v>0</v>
      </c>
      <c r="AP14" s="13">
        <f t="shared" ref="AP14:AP22" si="13">H14*(1-0)</f>
        <v>0</v>
      </c>
      <c r="AQ14" s="79" t="s">
        <v>23</v>
      </c>
      <c r="AV14" s="13">
        <f t="shared" ref="AV14:AV22" si="14">AW14+AX14</f>
        <v>0</v>
      </c>
      <c r="AW14" s="13">
        <f t="shared" ref="AW14:AW22" si="15">G14*AO14</f>
        <v>0</v>
      </c>
      <c r="AX14" s="13">
        <f t="shared" ref="AX14:AX22" si="16">G14*AP14</f>
        <v>0</v>
      </c>
      <c r="AY14" s="79" t="s">
        <v>796</v>
      </c>
      <c r="AZ14" s="79" t="s">
        <v>797</v>
      </c>
      <c r="BA14" s="30" t="s">
        <v>798</v>
      </c>
      <c r="BC14" s="13">
        <f t="shared" ref="BC14:BC22" si="17">AW14+AX14</f>
        <v>0</v>
      </c>
      <c r="BD14" s="13">
        <f t="shared" ref="BD14:BD22" si="18">H14/(100-BE14)*100</f>
        <v>0</v>
      </c>
      <c r="BE14" s="13">
        <v>0</v>
      </c>
      <c r="BF14" s="13">
        <f>14</f>
        <v>14</v>
      </c>
      <c r="BH14" s="13">
        <f t="shared" ref="BH14:BH22" si="19">G14*AO14</f>
        <v>0</v>
      </c>
      <c r="BI14" s="13">
        <f t="shared" ref="BI14:BI22" si="20">G14*AP14</f>
        <v>0</v>
      </c>
      <c r="BJ14" s="13">
        <f t="shared" ref="BJ14:BJ22" si="21">G14*H14</f>
        <v>0</v>
      </c>
      <c r="BK14" s="13"/>
      <c r="BL14" s="13"/>
      <c r="BW14" s="13">
        <v>21</v>
      </c>
    </row>
    <row r="15" spans="1:75" ht="27" customHeight="1" x14ac:dyDescent="0.25">
      <c r="A15" s="1" t="s">
        <v>62</v>
      </c>
      <c r="B15" s="2" t="s">
        <v>19</v>
      </c>
      <c r="C15" s="2" t="s">
        <v>63</v>
      </c>
      <c r="D15" s="95" t="s">
        <v>64</v>
      </c>
      <c r="E15" s="88"/>
      <c r="F15" s="2" t="s">
        <v>61</v>
      </c>
      <c r="G15" s="13">
        <v>1</v>
      </c>
      <c r="H15" s="78">
        <v>0</v>
      </c>
      <c r="I15" s="13">
        <f t="shared" si="0"/>
        <v>0</v>
      </c>
      <c r="K15" s="34"/>
      <c r="Z15" s="13">
        <f t="shared" si="1"/>
        <v>0</v>
      </c>
      <c r="AB15" s="13">
        <f t="shared" si="2"/>
        <v>0</v>
      </c>
      <c r="AC15" s="13">
        <f t="shared" si="3"/>
        <v>0</v>
      </c>
      <c r="AD15" s="13">
        <f t="shared" si="4"/>
        <v>0</v>
      </c>
      <c r="AE15" s="13">
        <f t="shared" si="5"/>
        <v>0</v>
      </c>
      <c r="AF15" s="13">
        <f t="shared" si="6"/>
        <v>0</v>
      </c>
      <c r="AG15" s="13">
        <f t="shared" si="7"/>
        <v>0</v>
      </c>
      <c r="AH15" s="13">
        <f t="shared" si="8"/>
        <v>0</v>
      </c>
      <c r="AI15" s="30" t="s">
        <v>19</v>
      </c>
      <c r="AJ15" s="13">
        <f t="shared" si="9"/>
        <v>0</v>
      </c>
      <c r="AK15" s="13">
        <f t="shared" si="10"/>
        <v>0</v>
      </c>
      <c r="AL15" s="13">
        <f t="shared" si="11"/>
        <v>0</v>
      </c>
      <c r="AN15" s="13">
        <v>21</v>
      </c>
      <c r="AO15" s="13">
        <f t="shared" si="12"/>
        <v>0</v>
      </c>
      <c r="AP15" s="13">
        <f t="shared" si="13"/>
        <v>0</v>
      </c>
      <c r="AQ15" s="79" t="s">
        <v>23</v>
      </c>
      <c r="AV15" s="13">
        <f t="shared" si="14"/>
        <v>0</v>
      </c>
      <c r="AW15" s="13">
        <f t="shared" si="15"/>
        <v>0</v>
      </c>
      <c r="AX15" s="13">
        <f t="shared" si="16"/>
        <v>0</v>
      </c>
      <c r="AY15" s="79" t="s">
        <v>796</v>
      </c>
      <c r="AZ15" s="79" t="s">
        <v>797</v>
      </c>
      <c r="BA15" s="30" t="s">
        <v>798</v>
      </c>
      <c r="BC15" s="13">
        <f t="shared" si="17"/>
        <v>0</v>
      </c>
      <c r="BD15" s="13">
        <f t="shared" si="18"/>
        <v>0</v>
      </c>
      <c r="BE15" s="13">
        <v>0</v>
      </c>
      <c r="BF15" s="13">
        <f>15</f>
        <v>15</v>
      </c>
      <c r="BH15" s="13">
        <f t="shared" si="19"/>
        <v>0</v>
      </c>
      <c r="BI15" s="13">
        <f t="shared" si="20"/>
        <v>0</v>
      </c>
      <c r="BJ15" s="13">
        <f t="shared" si="21"/>
        <v>0</v>
      </c>
      <c r="BK15" s="13"/>
      <c r="BL15" s="13"/>
      <c r="BW15" s="13">
        <v>21</v>
      </c>
    </row>
    <row r="16" spans="1:75" ht="27" customHeight="1" x14ac:dyDescent="0.25">
      <c r="A16" s="1" t="s">
        <v>28</v>
      </c>
      <c r="B16" s="2" t="s">
        <v>19</v>
      </c>
      <c r="C16" s="2" t="s">
        <v>65</v>
      </c>
      <c r="D16" s="95" t="s">
        <v>66</v>
      </c>
      <c r="E16" s="88"/>
      <c r="F16" s="2" t="s">
        <v>61</v>
      </c>
      <c r="G16" s="13">
        <v>1</v>
      </c>
      <c r="H16" s="78">
        <v>0</v>
      </c>
      <c r="I16" s="13">
        <f t="shared" si="0"/>
        <v>0</v>
      </c>
      <c r="K16" s="34"/>
      <c r="Z16" s="13">
        <f t="shared" si="1"/>
        <v>0</v>
      </c>
      <c r="AB16" s="13">
        <f t="shared" si="2"/>
        <v>0</v>
      </c>
      <c r="AC16" s="13">
        <f t="shared" si="3"/>
        <v>0</v>
      </c>
      <c r="AD16" s="13">
        <f t="shared" si="4"/>
        <v>0</v>
      </c>
      <c r="AE16" s="13">
        <f t="shared" si="5"/>
        <v>0</v>
      </c>
      <c r="AF16" s="13">
        <f t="shared" si="6"/>
        <v>0</v>
      </c>
      <c r="AG16" s="13">
        <f t="shared" si="7"/>
        <v>0</v>
      </c>
      <c r="AH16" s="13">
        <f t="shared" si="8"/>
        <v>0</v>
      </c>
      <c r="AI16" s="30" t="s">
        <v>19</v>
      </c>
      <c r="AJ16" s="13">
        <f t="shared" si="9"/>
        <v>0</v>
      </c>
      <c r="AK16" s="13">
        <f t="shared" si="10"/>
        <v>0</v>
      </c>
      <c r="AL16" s="13">
        <f t="shared" si="11"/>
        <v>0</v>
      </c>
      <c r="AN16" s="13">
        <v>21</v>
      </c>
      <c r="AO16" s="13">
        <f t="shared" si="12"/>
        <v>0</v>
      </c>
      <c r="AP16" s="13">
        <f t="shared" si="13"/>
        <v>0</v>
      </c>
      <c r="AQ16" s="79" t="s">
        <v>23</v>
      </c>
      <c r="AV16" s="13">
        <f t="shared" si="14"/>
        <v>0</v>
      </c>
      <c r="AW16" s="13">
        <f t="shared" si="15"/>
        <v>0</v>
      </c>
      <c r="AX16" s="13">
        <f t="shared" si="16"/>
        <v>0</v>
      </c>
      <c r="AY16" s="79" t="s">
        <v>796</v>
      </c>
      <c r="AZ16" s="79" t="s">
        <v>797</v>
      </c>
      <c r="BA16" s="30" t="s">
        <v>798</v>
      </c>
      <c r="BC16" s="13">
        <f t="shared" si="17"/>
        <v>0</v>
      </c>
      <c r="BD16" s="13">
        <f t="shared" si="18"/>
        <v>0</v>
      </c>
      <c r="BE16" s="13">
        <v>0</v>
      </c>
      <c r="BF16" s="13">
        <f>16</f>
        <v>16</v>
      </c>
      <c r="BH16" s="13">
        <f t="shared" si="19"/>
        <v>0</v>
      </c>
      <c r="BI16" s="13">
        <f t="shared" si="20"/>
        <v>0</v>
      </c>
      <c r="BJ16" s="13">
        <f t="shared" si="21"/>
        <v>0</v>
      </c>
      <c r="BK16" s="13"/>
      <c r="BL16" s="13"/>
      <c r="BW16" s="13">
        <v>21</v>
      </c>
    </row>
    <row r="17" spans="1:75" ht="13.5" customHeight="1" x14ac:dyDescent="0.25">
      <c r="A17" s="1" t="s">
        <v>67</v>
      </c>
      <c r="B17" s="2" t="s">
        <v>19</v>
      </c>
      <c r="C17" s="2" t="s">
        <v>68</v>
      </c>
      <c r="D17" s="95" t="s">
        <v>69</v>
      </c>
      <c r="E17" s="88"/>
      <c r="F17" s="2" t="s">
        <v>61</v>
      </c>
      <c r="G17" s="13">
        <v>1</v>
      </c>
      <c r="H17" s="78">
        <v>0</v>
      </c>
      <c r="I17" s="13">
        <f t="shared" si="0"/>
        <v>0</v>
      </c>
      <c r="K17" s="34"/>
      <c r="Z17" s="13">
        <f t="shared" si="1"/>
        <v>0</v>
      </c>
      <c r="AB17" s="13">
        <f t="shared" si="2"/>
        <v>0</v>
      </c>
      <c r="AC17" s="13">
        <f t="shared" si="3"/>
        <v>0</v>
      </c>
      <c r="AD17" s="13">
        <f t="shared" si="4"/>
        <v>0</v>
      </c>
      <c r="AE17" s="13">
        <f t="shared" si="5"/>
        <v>0</v>
      </c>
      <c r="AF17" s="13">
        <f t="shared" si="6"/>
        <v>0</v>
      </c>
      <c r="AG17" s="13">
        <f t="shared" si="7"/>
        <v>0</v>
      </c>
      <c r="AH17" s="13">
        <f t="shared" si="8"/>
        <v>0</v>
      </c>
      <c r="AI17" s="30" t="s">
        <v>19</v>
      </c>
      <c r="AJ17" s="13">
        <f t="shared" si="9"/>
        <v>0</v>
      </c>
      <c r="AK17" s="13">
        <f t="shared" si="10"/>
        <v>0</v>
      </c>
      <c r="AL17" s="13">
        <f t="shared" si="11"/>
        <v>0</v>
      </c>
      <c r="AN17" s="13">
        <v>21</v>
      </c>
      <c r="AO17" s="13">
        <f t="shared" si="12"/>
        <v>0</v>
      </c>
      <c r="AP17" s="13">
        <f t="shared" si="13"/>
        <v>0</v>
      </c>
      <c r="AQ17" s="79" t="s">
        <v>23</v>
      </c>
      <c r="AV17" s="13">
        <f t="shared" si="14"/>
        <v>0</v>
      </c>
      <c r="AW17" s="13">
        <f t="shared" si="15"/>
        <v>0</v>
      </c>
      <c r="AX17" s="13">
        <f t="shared" si="16"/>
        <v>0</v>
      </c>
      <c r="AY17" s="79" t="s">
        <v>796</v>
      </c>
      <c r="AZ17" s="79" t="s">
        <v>797</v>
      </c>
      <c r="BA17" s="30" t="s">
        <v>798</v>
      </c>
      <c r="BC17" s="13">
        <f t="shared" si="17"/>
        <v>0</v>
      </c>
      <c r="BD17" s="13">
        <f t="shared" si="18"/>
        <v>0</v>
      </c>
      <c r="BE17" s="13">
        <v>0</v>
      </c>
      <c r="BF17" s="13">
        <f>17</f>
        <v>17</v>
      </c>
      <c r="BH17" s="13">
        <f t="shared" si="19"/>
        <v>0</v>
      </c>
      <c r="BI17" s="13">
        <f t="shared" si="20"/>
        <v>0</v>
      </c>
      <c r="BJ17" s="13">
        <f t="shared" si="21"/>
        <v>0</v>
      </c>
      <c r="BK17" s="13"/>
      <c r="BL17" s="13"/>
      <c r="BW17" s="13">
        <v>21</v>
      </c>
    </row>
    <row r="18" spans="1:75" ht="13.5" customHeight="1" x14ac:dyDescent="0.25">
      <c r="A18" s="1" t="s">
        <v>70</v>
      </c>
      <c r="B18" s="2" t="s">
        <v>19</v>
      </c>
      <c r="C18" s="2" t="s">
        <v>71</v>
      </c>
      <c r="D18" s="95" t="s">
        <v>72</v>
      </c>
      <c r="E18" s="88"/>
      <c r="F18" s="2" t="s">
        <v>61</v>
      </c>
      <c r="G18" s="13">
        <v>1</v>
      </c>
      <c r="H18" s="78">
        <v>0</v>
      </c>
      <c r="I18" s="13">
        <f t="shared" si="0"/>
        <v>0</v>
      </c>
      <c r="K18" s="34"/>
      <c r="Z18" s="13">
        <f t="shared" si="1"/>
        <v>0</v>
      </c>
      <c r="AB18" s="13">
        <f t="shared" si="2"/>
        <v>0</v>
      </c>
      <c r="AC18" s="13">
        <f t="shared" si="3"/>
        <v>0</v>
      </c>
      <c r="AD18" s="13">
        <f t="shared" si="4"/>
        <v>0</v>
      </c>
      <c r="AE18" s="13">
        <f t="shared" si="5"/>
        <v>0</v>
      </c>
      <c r="AF18" s="13">
        <f t="shared" si="6"/>
        <v>0</v>
      </c>
      <c r="AG18" s="13">
        <f t="shared" si="7"/>
        <v>0</v>
      </c>
      <c r="AH18" s="13">
        <f t="shared" si="8"/>
        <v>0</v>
      </c>
      <c r="AI18" s="30" t="s">
        <v>19</v>
      </c>
      <c r="AJ18" s="13">
        <f t="shared" si="9"/>
        <v>0</v>
      </c>
      <c r="AK18" s="13">
        <f t="shared" si="10"/>
        <v>0</v>
      </c>
      <c r="AL18" s="13">
        <f t="shared" si="11"/>
        <v>0</v>
      </c>
      <c r="AN18" s="13">
        <v>21</v>
      </c>
      <c r="AO18" s="13">
        <f t="shared" si="12"/>
        <v>0</v>
      </c>
      <c r="AP18" s="13">
        <f t="shared" si="13"/>
        <v>0</v>
      </c>
      <c r="AQ18" s="79" t="s">
        <v>23</v>
      </c>
      <c r="AV18" s="13">
        <f t="shared" si="14"/>
        <v>0</v>
      </c>
      <c r="AW18" s="13">
        <f t="shared" si="15"/>
        <v>0</v>
      </c>
      <c r="AX18" s="13">
        <f t="shared" si="16"/>
        <v>0</v>
      </c>
      <c r="AY18" s="79" t="s">
        <v>796</v>
      </c>
      <c r="AZ18" s="79" t="s">
        <v>797</v>
      </c>
      <c r="BA18" s="30" t="s">
        <v>798</v>
      </c>
      <c r="BC18" s="13">
        <f t="shared" si="17"/>
        <v>0</v>
      </c>
      <c r="BD18" s="13">
        <f t="shared" si="18"/>
        <v>0</v>
      </c>
      <c r="BE18" s="13">
        <v>0</v>
      </c>
      <c r="BF18" s="13">
        <f>18</f>
        <v>18</v>
      </c>
      <c r="BH18" s="13">
        <f t="shared" si="19"/>
        <v>0</v>
      </c>
      <c r="BI18" s="13">
        <f t="shared" si="20"/>
        <v>0</v>
      </c>
      <c r="BJ18" s="13">
        <f t="shared" si="21"/>
        <v>0</v>
      </c>
      <c r="BK18" s="13"/>
      <c r="BL18" s="13"/>
      <c r="BW18" s="13">
        <v>21</v>
      </c>
    </row>
    <row r="19" spans="1:75" ht="13.5" customHeight="1" x14ac:dyDescent="0.25">
      <c r="A19" s="1" t="s">
        <v>30</v>
      </c>
      <c r="B19" s="2" t="s">
        <v>19</v>
      </c>
      <c r="C19" s="2" t="s">
        <v>73</v>
      </c>
      <c r="D19" s="95" t="s">
        <v>74</v>
      </c>
      <c r="E19" s="88"/>
      <c r="F19" s="2" t="s">
        <v>61</v>
      </c>
      <c r="G19" s="13">
        <v>1</v>
      </c>
      <c r="H19" s="78">
        <v>0</v>
      </c>
      <c r="I19" s="13">
        <f t="shared" si="0"/>
        <v>0</v>
      </c>
      <c r="K19" s="34"/>
      <c r="Z19" s="13">
        <f t="shared" si="1"/>
        <v>0</v>
      </c>
      <c r="AB19" s="13">
        <f t="shared" si="2"/>
        <v>0</v>
      </c>
      <c r="AC19" s="13">
        <f t="shared" si="3"/>
        <v>0</v>
      </c>
      <c r="AD19" s="13">
        <f t="shared" si="4"/>
        <v>0</v>
      </c>
      <c r="AE19" s="13">
        <f t="shared" si="5"/>
        <v>0</v>
      </c>
      <c r="AF19" s="13">
        <f t="shared" si="6"/>
        <v>0</v>
      </c>
      <c r="AG19" s="13">
        <f t="shared" si="7"/>
        <v>0</v>
      </c>
      <c r="AH19" s="13">
        <f t="shared" si="8"/>
        <v>0</v>
      </c>
      <c r="AI19" s="30" t="s">
        <v>19</v>
      </c>
      <c r="AJ19" s="13">
        <f t="shared" si="9"/>
        <v>0</v>
      </c>
      <c r="AK19" s="13">
        <f t="shared" si="10"/>
        <v>0</v>
      </c>
      <c r="AL19" s="13">
        <f t="shared" si="11"/>
        <v>0</v>
      </c>
      <c r="AN19" s="13">
        <v>21</v>
      </c>
      <c r="AO19" s="13">
        <f t="shared" si="12"/>
        <v>0</v>
      </c>
      <c r="AP19" s="13">
        <f t="shared" si="13"/>
        <v>0</v>
      </c>
      <c r="AQ19" s="79" t="s">
        <v>23</v>
      </c>
      <c r="AV19" s="13">
        <f t="shared" si="14"/>
        <v>0</v>
      </c>
      <c r="AW19" s="13">
        <f t="shared" si="15"/>
        <v>0</v>
      </c>
      <c r="AX19" s="13">
        <f t="shared" si="16"/>
        <v>0</v>
      </c>
      <c r="AY19" s="79" t="s">
        <v>796</v>
      </c>
      <c r="AZ19" s="79" t="s">
        <v>797</v>
      </c>
      <c r="BA19" s="30" t="s">
        <v>798</v>
      </c>
      <c r="BC19" s="13">
        <f t="shared" si="17"/>
        <v>0</v>
      </c>
      <c r="BD19" s="13">
        <f t="shared" si="18"/>
        <v>0</v>
      </c>
      <c r="BE19" s="13">
        <v>0</v>
      </c>
      <c r="BF19" s="13">
        <f>19</f>
        <v>19</v>
      </c>
      <c r="BH19" s="13">
        <f t="shared" si="19"/>
        <v>0</v>
      </c>
      <c r="BI19" s="13">
        <f t="shared" si="20"/>
        <v>0</v>
      </c>
      <c r="BJ19" s="13">
        <f t="shared" si="21"/>
        <v>0</v>
      </c>
      <c r="BK19" s="13"/>
      <c r="BL19" s="13"/>
      <c r="BW19" s="13">
        <v>21</v>
      </c>
    </row>
    <row r="20" spans="1:75" ht="13.5" customHeight="1" x14ac:dyDescent="0.25">
      <c r="A20" s="1" t="s">
        <v>75</v>
      </c>
      <c r="B20" s="2" t="s">
        <v>19</v>
      </c>
      <c r="C20" s="2" t="s">
        <v>76</v>
      </c>
      <c r="D20" s="95" t="s">
        <v>77</v>
      </c>
      <c r="E20" s="88"/>
      <c r="F20" s="2" t="s">
        <v>61</v>
      </c>
      <c r="G20" s="13">
        <v>1</v>
      </c>
      <c r="H20" s="78">
        <v>0</v>
      </c>
      <c r="I20" s="13">
        <f t="shared" si="0"/>
        <v>0</v>
      </c>
      <c r="K20" s="34"/>
      <c r="Z20" s="13">
        <f t="shared" si="1"/>
        <v>0</v>
      </c>
      <c r="AB20" s="13">
        <f t="shared" si="2"/>
        <v>0</v>
      </c>
      <c r="AC20" s="13">
        <f t="shared" si="3"/>
        <v>0</v>
      </c>
      <c r="AD20" s="13">
        <f t="shared" si="4"/>
        <v>0</v>
      </c>
      <c r="AE20" s="13">
        <f t="shared" si="5"/>
        <v>0</v>
      </c>
      <c r="AF20" s="13">
        <f t="shared" si="6"/>
        <v>0</v>
      </c>
      <c r="AG20" s="13">
        <f t="shared" si="7"/>
        <v>0</v>
      </c>
      <c r="AH20" s="13">
        <f t="shared" si="8"/>
        <v>0</v>
      </c>
      <c r="AI20" s="30" t="s">
        <v>19</v>
      </c>
      <c r="AJ20" s="13">
        <f t="shared" si="9"/>
        <v>0</v>
      </c>
      <c r="AK20" s="13">
        <f t="shared" si="10"/>
        <v>0</v>
      </c>
      <c r="AL20" s="13">
        <f t="shared" si="11"/>
        <v>0</v>
      </c>
      <c r="AN20" s="13">
        <v>21</v>
      </c>
      <c r="AO20" s="13">
        <f t="shared" si="12"/>
        <v>0</v>
      </c>
      <c r="AP20" s="13">
        <f t="shared" si="13"/>
        <v>0</v>
      </c>
      <c r="AQ20" s="79" t="s">
        <v>23</v>
      </c>
      <c r="AV20" s="13">
        <f t="shared" si="14"/>
        <v>0</v>
      </c>
      <c r="AW20" s="13">
        <f t="shared" si="15"/>
        <v>0</v>
      </c>
      <c r="AX20" s="13">
        <f t="shared" si="16"/>
        <v>0</v>
      </c>
      <c r="AY20" s="79" t="s">
        <v>796</v>
      </c>
      <c r="AZ20" s="79" t="s">
        <v>797</v>
      </c>
      <c r="BA20" s="30" t="s">
        <v>798</v>
      </c>
      <c r="BC20" s="13">
        <f t="shared" si="17"/>
        <v>0</v>
      </c>
      <c r="BD20" s="13">
        <f t="shared" si="18"/>
        <v>0</v>
      </c>
      <c r="BE20" s="13">
        <v>0</v>
      </c>
      <c r="BF20" s="13">
        <f>20</f>
        <v>20</v>
      </c>
      <c r="BH20" s="13">
        <f t="shared" si="19"/>
        <v>0</v>
      </c>
      <c r="BI20" s="13">
        <f t="shared" si="20"/>
        <v>0</v>
      </c>
      <c r="BJ20" s="13">
        <f t="shared" si="21"/>
        <v>0</v>
      </c>
      <c r="BK20" s="13"/>
      <c r="BL20" s="13"/>
      <c r="BW20" s="13">
        <v>21</v>
      </c>
    </row>
    <row r="21" spans="1:75" ht="13.5" customHeight="1" x14ac:dyDescent="0.25">
      <c r="A21" s="1" t="s">
        <v>78</v>
      </c>
      <c r="B21" s="2" t="s">
        <v>19</v>
      </c>
      <c r="C21" s="2" t="s">
        <v>79</v>
      </c>
      <c r="D21" s="95" t="s">
        <v>80</v>
      </c>
      <c r="E21" s="88"/>
      <c r="F21" s="2" t="s">
        <v>61</v>
      </c>
      <c r="G21" s="13">
        <v>1</v>
      </c>
      <c r="H21" s="78">
        <v>0</v>
      </c>
      <c r="I21" s="13">
        <f t="shared" si="0"/>
        <v>0</v>
      </c>
      <c r="K21" s="34"/>
      <c r="Z21" s="13">
        <f t="shared" si="1"/>
        <v>0</v>
      </c>
      <c r="AB21" s="13">
        <f t="shared" si="2"/>
        <v>0</v>
      </c>
      <c r="AC21" s="13">
        <f t="shared" si="3"/>
        <v>0</v>
      </c>
      <c r="AD21" s="13">
        <f t="shared" si="4"/>
        <v>0</v>
      </c>
      <c r="AE21" s="13">
        <f t="shared" si="5"/>
        <v>0</v>
      </c>
      <c r="AF21" s="13">
        <f t="shared" si="6"/>
        <v>0</v>
      </c>
      <c r="AG21" s="13">
        <f t="shared" si="7"/>
        <v>0</v>
      </c>
      <c r="AH21" s="13">
        <f t="shared" si="8"/>
        <v>0</v>
      </c>
      <c r="AI21" s="30" t="s">
        <v>19</v>
      </c>
      <c r="AJ21" s="13">
        <f t="shared" si="9"/>
        <v>0</v>
      </c>
      <c r="AK21" s="13">
        <f t="shared" si="10"/>
        <v>0</v>
      </c>
      <c r="AL21" s="13">
        <f t="shared" si="11"/>
        <v>0</v>
      </c>
      <c r="AN21" s="13">
        <v>21</v>
      </c>
      <c r="AO21" s="13">
        <f t="shared" si="12"/>
        <v>0</v>
      </c>
      <c r="AP21" s="13">
        <f t="shared" si="13"/>
        <v>0</v>
      </c>
      <c r="AQ21" s="79" t="s">
        <v>23</v>
      </c>
      <c r="AV21" s="13">
        <f t="shared" si="14"/>
        <v>0</v>
      </c>
      <c r="AW21" s="13">
        <f t="shared" si="15"/>
        <v>0</v>
      </c>
      <c r="AX21" s="13">
        <f t="shared" si="16"/>
        <v>0</v>
      </c>
      <c r="AY21" s="79" t="s">
        <v>796</v>
      </c>
      <c r="AZ21" s="79" t="s">
        <v>797</v>
      </c>
      <c r="BA21" s="30" t="s">
        <v>798</v>
      </c>
      <c r="BC21" s="13">
        <f t="shared" si="17"/>
        <v>0</v>
      </c>
      <c r="BD21" s="13">
        <f t="shared" si="18"/>
        <v>0</v>
      </c>
      <c r="BE21" s="13">
        <v>0</v>
      </c>
      <c r="BF21" s="13">
        <f>21</f>
        <v>21</v>
      </c>
      <c r="BH21" s="13">
        <f t="shared" si="19"/>
        <v>0</v>
      </c>
      <c r="BI21" s="13">
        <f t="shared" si="20"/>
        <v>0</v>
      </c>
      <c r="BJ21" s="13">
        <f t="shared" si="21"/>
        <v>0</v>
      </c>
      <c r="BK21" s="13"/>
      <c r="BL21" s="13"/>
      <c r="BW21" s="13">
        <v>21</v>
      </c>
    </row>
    <row r="22" spans="1:75" ht="27" customHeight="1" x14ac:dyDescent="0.25">
      <c r="A22" s="1" t="s">
        <v>44</v>
      </c>
      <c r="B22" s="2" t="s">
        <v>19</v>
      </c>
      <c r="C22" s="2" t="s">
        <v>81</v>
      </c>
      <c r="D22" s="95" t="s">
        <v>82</v>
      </c>
      <c r="E22" s="88"/>
      <c r="F22" s="2" t="s">
        <v>61</v>
      </c>
      <c r="G22" s="13">
        <v>1</v>
      </c>
      <c r="H22" s="78">
        <v>0</v>
      </c>
      <c r="I22" s="13">
        <f t="shared" si="0"/>
        <v>0</v>
      </c>
      <c r="K22" s="34"/>
      <c r="Z22" s="13">
        <f t="shared" si="1"/>
        <v>0</v>
      </c>
      <c r="AB22" s="13">
        <f t="shared" si="2"/>
        <v>0</v>
      </c>
      <c r="AC22" s="13">
        <f t="shared" si="3"/>
        <v>0</v>
      </c>
      <c r="AD22" s="13">
        <f t="shared" si="4"/>
        <v>0</v>
      </c>
      <c r="AE22" s="13">
        <f t="shared" si="5"/>
        <v>0</v>
      </c>
      <c r="AF22" s="13">
        <f t="shared" si="6"/>
        <v>0</v>
      </c>
      <c r="AG22" s="13">
        <f t="shared" si="7"/>
        <v>0</v>
      </c>
      <c r="AH22" s="13">
        <f t="shared" si="8"/>
        <v>0</v>
      </c>
      <c r="AI22" s="30" t="s">
        <v>19</v>
      </c>
      <c r="AJ22" s="13">
        <f t="shared" si="9"/>
        <v>0</v>
      </c>
      <c r="AK22" s="13">
        <f t="shared" si="10"/>
        <v>0</v>
      </c>
      <c r="AL22" s="13">
        <f t="shared" si="11"/>
        <v>0</v>
      </c>
      <c r="AN22" s="13">
        <v>21</v>
      </c>
      <c r="AO22" s="13">
        <f t="shared" si="12"/>
        <v>0</v>
      </c>
      <c r="AP22" s="13">
        <f t="shared" si="13"/>
        <v>0</v>
      </c>
      <c r="AQ22" s="79" t="s">
        <v>23</v>
      </c>
      <c r="AV22" s="13">
        <f t="shared" si="14"/>
        <v>0</v>
      </c>
      <c r="AW22" s="13">
        <f t="shared" si="15"/>
        <v>0</v>
      </c>
      <c r="AX22" s="13">
        <f t="shared" si="16"/>
        <v>0</v>
      </c>
      <c r="AY22" s="79" t="s">
        <v>796</v>
      </c>
      <c r="AZ22" s="79" t="s">
        <v>797</v>
      </c>
      <c r="BA22" s="30" t="s">
        <v>798</v>
      </c>
      <c r="BC22" s="13">
        <f t="shared" si="17"/>
        <v>0</v>
      </c>
      <c r="BD22" s="13">
        <f t="shared" si="18"/>
        <v>0</v>
      </c>
      <c r="BE22" s="13">
        <v>0</v>
      </c>
      <c r="BF22" s="13">
        <f>22</f>
        <v>22</v>
      </c>
      <c r="BH22" s="13">
        <f t="shared" si="19"/>
        <v>0</v>
      </c>
      <c r="BI22" s="13">
        <f t="shared" si="20"/>
        <v>0</v>
      </c>
      <c r="BJ22" s="13">
        <f t="shared" si="21"/>
        <v>0</v>
      </c>
      <c r="BK22" s="13"/>
      <c r="BL22" s="13"/>
      <c r="BW22" s="13">
        <v>21</v>
      </c>
    </row>
    <row r="23" spans="1:75" ht="40.5" customHeight="1" x14ac:dyDescent="0.25">
      <c r="A23" s="32"/>
      <c r="C23" s="80" t="s">
        <v>49</v>
      </c>
      <c r="D23" s="113" t="s">
        <v>83</v>
      </c>
      <c r="E23" s="114"/>
      <c r="F23" s="114"/>
      <c r="G23" s="114"/>
      <c r="H23" s="184"/>
      <c r="I23" s="114"/>
      <c r="J23" s="114"/>
      <c r="K23" s="185"/>
    </row>
    <row r="24" spans="1:75" ht="13.5" customHeight="1" x14ac:dyDescent="0.25">
      <c r="A24" s="1" t="s">
        <v>84</v>
      </c>
      <c r="B24" s="2" t="s">
        <v>19</v>
      </c>
      <c r="C24" s="2" t="s">
        <v>85</v>
      </c>
      <c r="D24" s="95" t="s">
        <v>86</v>
      </c>
      <c r="E24" s="88"/>
      <c r="F24" s="2" t="s">
        <v>61</v>
      </c>
      <c r="G24" s="13">
        <v>1</v>
      </c>
      <c r="H24" s="78">
        <v>0</v>
      </c>
      <c r="I24" s="13">
        <f>G24*H24</f>
        <v>0</v>
      </c>
      <c r="K24" s="34"/>
      <c r="Z24" s="13">
        <f>IF(AQ24="5",BJ24,0)</f>
        <v>0</v>
      </c>
      <c r="AB24" s="13">
        <f>IF(AQ24="1",BH24,0)</f>
        <v>0</v>
      </c>
      <c r="AC24" s="13">
        <f>IF(AQ24="1",BI24,0)</f>
        <v>0</v>
      </c>
      <c r="AD24" s="13">
        <f>IF(AQ24="7",BH24,0)</f>
        <v>0</v>
      </c>
      <c r="AE24" s="13">
        <f>IF(AQ24="7",BI24,0)</f>
        <v>0</v>
      </c>
      <c r="AF24" s="13">
        <f>IF(AQ24="2",BH24,0)</f>
        <v>0</v>
      </c>
      <c r="AG24" s="13">
        <f>IF(AQ24="2",BI24,0)</f>
        <v>0</v>
      </c>
      <c r="AH24" s="13">
        <f>IF(AQ24="0",BJ24,0)</f>
        <v>0</v>
      </c>
      <c r="AI24" s="30" t="s">
        <v>19</v>
      </c>
      <c r="AJ24" s="13">
        <f>IF(AN24=0,I24,0)</f>
        <v>0</v>
      </c>
      <c r="AK24" s="13">
        <f>IF(AN24=12,I24,0)</f>
        <v>0</v>
      </c>
      <c r="AL24" s="13">
        <f>IF(AN24=21,I24,0)</f>
        <v>0</v>
      </c>
      <c r="AN24" s="13">
        <v>21</v>
      </c>
      <c r="AO24" s="13">
        <f>H24*0</f>
        <v>0</v>
      </c>
      <c r="AP24" s="13">
        <f>H24*(1-0)</f>
        <v>0</v>
      </c>
      <c r="AQ24" s="79" t="s">
        <v>23</v>
      </c>
      <c r="AV24" s="13">
        <f>AW24+AX24</f>
        <v>0</v>
      </c>
      <c r="AW24" s="13">
        <f>G24*AO24</f>
        <v>0</v>
      </c>
      <c r="AX24" s="13">
        <f>G24*AP24</f>
        <v>0</v>
      </c>
      <c r="AY24" s="79" t="s">
        <v>796</v>
      </c>
      <c r="AZ24" s="79" t="s">
        <v>797</v>
      </c>
      <c r="BA24" s="30" t="s">
        <v>798</v>
      </c>
      <c r="BC24" s="13">
        <f>AW24+AX24</f>
        <v>0</v>
      </c>
      <c r="BD24" s="13">
        <f>H24/(100-BE24)*100</f>
        <v>0</v>
      </c>
      <c r="BE24" s="13">
        <v>0</v>
      </c>
      <c r="BF24" s="13">
        <f>24</f>
        <v>24</v>
      </c>
      <c r="BH24" s="13">
        <f>G24*AO24</f>
        <v>0</v>
      </c>
      <c r="BI24" s="13">
        <f>G24*AP24</f>
        <v>0</v>
      </c>
      <c r="BJ24" s="13">
        <f>G24*H24</f>
        <v>0</v>
      </c>
      <c r="BK24" s="13"/>
      <c r="BL24" s="13"/>
      <c r="BW24" s="13">
        <v>21</v>
      </c>
    </row>
    <row r="25" spans="1:75" ht="40.5" customHeight="1" x14ac:dyDescent="0.25">
      <c r="A25" s="32"/>
      <c r="C25" s="80" t="s">
        <v>49</v>
      </c>
      <c r="D25" s="113" t="s">
        <v>87</v>
      </c>
      <c r="E25" s="114"/>
      <c r="F25" s="114"/>
      <c r="G25" s="114"/>
      <c r="H25" s="184"/>
      <c r="I25" s="114"/>
      <c r="J25" s="114"/>
      <c r="K25" s="185"/>
    </row>
    <row r="26" spans="1:75" ht="13.5" customHeight="1" x14ac:dyDescent="0.25">
      <c r="A26" s="1" t="s">
        <v>88</v>
      </c>
      <c r="B26" s="2" t="s">
        <v>19</v>
      </c>
      <c r="C26" s="2" t="s">
        <v>89</v>
      </c>
      <c r="D26" s="95" t="s">
        <v>90</v>
      </c>
      <c r="E26" s="88"/>
      <c r="F26" s="2" t="s">
        <v>91</v>
      </c>
      <c r="G26" s="13">
        <v>14</v>
      </c>
      <c r="H26" s="78">
        <v>0</v>
      </c>
      <c r="I26" s="13">
        <f>G26*H26</f>
        <v>0</v>
      </c>
      <c r="K26" s="34"/>
      <c r="Z26" s="13">
        <f>IF(AQ26="5",BJ26,0)</f>
        <v>0</v>
      </c>
      <c r="AB26" s="13">
        <f>IF(AQ26="1",BH26,0)</f>
        <v>0</v>
      </c>
      <c r="AC26" s="13">
        <f>IF(AQ26="1",BI26,0)</f>
        <v>0</v>
      </c>
      <c r="AD26" s="13">
        <f>IF(AQ26="7",BH26,0)</f>
        <v>0</v>
      </c>
      <c r="AE26" s="13">
        <f>IF(AQ26="7",BI26,0)</f>
        <v>0</v>
      </c>
      <c r="AF26" s="13">
        <f>IF(AQ26="2",BH26,0)</f>
        <v>0</v>
      </c>
      <c r="AG26" s="13">
        <f>IF(AQ26="2",BI26,0)</f>
        <v>0</v>
      </c>
      <c r="AH26" s="13">
        <f>IF(AQ26="0",BJ26,0)</f>
        <v>0</v>
      </c>
      <c r="AI26" s="30" t="s">
        <v>19</v>
      </c>
      <c r="AJ26" s="13">
        <f>IF(AN26=0,I26,0)</f>
        <v>0</v>
      </c>
      <c r="AK26" s="13">
        <f>IF(AN26=12,I26,0)</f>
        <v>0</v>
      </c>
      <c r="AL26" s="13">
        <f>IF(AN26=21,I26,0)</f>
        <v>0</v>
      </c>
      <c r="AN26" s="13">
        <v>21</v>
      </c>
      <c r="AO26" s="13">
        <f>H26*0</f>
        <v>0</v>
      </c>
      <c r="AP26" s="13">
        <f>H26*(1-0)</f>
        <v>0</v>
      </c>
      <c r="AQ26" s="79" t="s">
        <v>23</v>
      </c>
      <c r="AV26" s="13">
        <f>AW26+AX26</f>
        <v>0</v>
      </c>
      <c r="AW26" s="13">
        <f>G26*AO26</f>
        <v>0</v>
      </c>
      <c r="AX26" s="13">
        <f>G26*AP26</f>
        <v>0</v>
      </c>
      <c r="AY26" s="79" t="s">
        <v>796</v>
      </c>
      <c r="AZ26" s="79" t="s">
        <v>797</v>
      </c>
      <c r="BA26" s="30" t="s">
        <v>798</v>
      </c>
      <c r="BC26" s="13">
        <f>AW26+AX26</f>
        <v>0</v>
      </c>
      <c r="BD26" s="13">
        <f>H26/(100-BE26)*100</f>
        <v>0</v>
      </c>
      <c r="BE26" s="13">
        <v>0</v>
      </c>
      <c r="BF26" s="13">
        <f>26</f>
        <v>26</v>
      </c>
      <c r="BH26" s="13">
        <f>G26*AO26</f>
        <v>0</v>
      </c>
      <c r="BI26" s="13">
        <f>G26*AP26</f>
        <v>0</v>
      </c>
      <c r="BJ26" s="13">
        <f>G26*H26</f>
        <v>0</v>
      </c>
      <c r="BK26" s="13"/>
      <c r="BL26" s="13"/>
      <c r="BW26" s="13">
        <v>21</v>
      </c>
    </row>
    <row r="27" spans="1:75" x14ac:dyDescent="0.25">
      <c r="A27" s="75" t="s">
        <v>20</v>
      </c>
      <c r="B27" s="29" t="s">
        <v>26</v>
      </c>
      <c r="C27" s="29" t="s">
        <v>20</v>
      </c>
      <c r="D27" s="183" t="s">
        <v>27</v>
      </c>
      <c r="E27" s="112"/>
      <c r="F27" s="76" t="s">
        <v>13</v>
      </c>
      <c r="G27" s="76" t="s">
        <v>13</v>
      </c>
      <c r="H27" s="77" t="s">
        <v>13</v>
      </c>
      <c r="I27" s="61">
        <f>I28+I33+I47+I50+I57+I60+I70+I77+I83+I89+I111+I137+I140+I142+I145+I159+I171+I181+I186+I199+I209+I228+I231+I234+I236+I238+I250+I255+I257+I259</f>
        <v>0</v>
      </c>
      <c r="K27" s="34"/>
    </row>
    <row r="28" spans="1:75" x14ac:dyDescent="0.25">
      <c r="A28" s="75" t="s">
        <v>20</v>
      </c>
      <c r="B28" s="29" t="s">
        <v>26</v>
      </c>
      <c r="C28" s="29" t="s">
        <v>93</v>
      </c>
      <c r="D28" s="183" t="s">
        <v>94</v>
      </c>
      <c r="E28" s="112"/>
      <c r="F28" s="76" t="s">
        <v>13</v>
      </c>
      <c r="G28" s="76" t="s">
        <v>13</v>
      </c>
      <c r="H28" s="77" t="s">
        <v>13</v>
      </c>
      <c r="I28" s="61">
        <f>SUM(I29:I31)</f>
        <v>0</v>
      </c>
      <c r="K28" s="34"/>
      <c r="AI28" s="30" t="s">
        <v>26</v>
      </c>
      <c r="AS28" s="61">
        <f>SUM(AJ29:AJ31)</f>
        <v>0</v>
      </c>
      <c r="AT28" s="61">
        <f>SUM(AK29:AK31)</f>
        <v>0</v>
      </c>
      <c r="AU28" s="61">
        <f>SUM(AL29:AL31)</f>
        <v>0</v>
      </c>
    </row>
    <row r="29" spans="1:75" ht="13.5" customHeight="1" x14ac:dyDescent="0.25">
      <c r="A29" s="1" t="s">
        <v>95</v>
      </c>
      <c r="B29" s="2" t="s">
        <v>26</v>
      </c>
      <c r="C29" s="2" t="s">
        <v>96</v>
      </c>
      <c r="D29" s="95" t="s">
        <v>97</v>
      </c>
      <c r="E29" s="88"/>
      <c r="F29" s="2" t="s">
        <v>91</v>
      </c>
      <c r="G29" s="13">
        <v>119.0031</v>
      </c>
      <c r="H29" s="78">
        <v>0</v>
      </c>
      <c r="I29" s="13">
        <f>G29*H29</f>
        <v>0</v>
      </c>
      <c r="K29" s="34"/>
      <c r="Z29" s="13">
        <f>IF(AQ29="5",BJ29,0)</f>
        <v>0</v>
      </c>
      <c r="AB29" s="13">
        <f>IF(AQ29="1",BH29,0)</f>
        <v>0</v>
      </c>
      <c r="AC29" s="13">
        <f>IF(AQ29="1",BI29,0)</f>
        <v>0</v>
      </c>
      <c r="AD29" s="13">
        <f>IF(AQ29="7",BH29,0)</f>
        <v>0</v>
      </c>
      <c r="AE29" s="13">
        <f>IF(AQ29="7",BI29,0)</f>
        <v>0</v>
      </c>
      <c r="AF29" s="13">
        <f>IF(AQ29="2",BH29,0)</f>
        <v>0</v>
      </c>
      <c r="AG29" s="13">
        <f>IF(AQ29="2",BI29,0)</f>
        <v>0</v>
      </c>
      <c r="AH29" s="13">
        <f>IF(AQ29="0",BJ29,0)</f>
        <v>0</v>
      </c>
      <c r="AI29" s="30" t="s">
        <v>26</v>
      </c>
      <c r="AJ29" s="13">
        <f>IF(AN29=0,I29,0)</f>
        <v>0</v>
      </c>
      <c r="AK29" s="13">
        <f>IF(AN29=12,I29,0)</f>
        <v>0</v>
      </c>
      <c r="AL29" s="13">
        <f>IF(AN29=21,I29,0)</f>
        <v>0</v>
      </c>
      <c r="AN29" s="13">
        <v>21</v>
      </c>
      <c r="AO29" s="13">
        <f>H29*0.183869527</f>
        <v>0</v>
      </c>
      <c r="AP29" s="13">
        <f>H29*(1-0.183869527)</f>
        <v>0</v>
      </c>
      <c r="AQ29" s="79" t="s">
        <v>23</v>
      </c>
      <c r="AV29" s="13">
        <f>AW29+AX29</f>
        <v>0</v>
      </c>
      <c r="AW29" s="13">
        <f>G29*AO29</f>
        <v>0</v>
      </c>
      <c r="AX29" s="13">
        <f>G29*AP29</f>
        <v>0</v>
      </c>
      <c r="AY29" s="79" t="s">
        <v>799</v>
      </c>
      <c r="AZ29" s="79" t="s">
        <v>800</v>
      </c>
      <c r="BA29" s="30" t="s">
        <v>801</v>
      </c>
      <c r="BC29" s="13">
        <f>AW29+AX29</f>
        <v>0</v>
      </c>
      <c r="BD29" s="13">
        <f>H29/(100-BE29)*100</f>
        <v>0</v>
      </c>
      <c r="BE29" s="13">
        <v>0</v>
      </c>
      <c r="BF29" s="13">
        <f>29</f>
        <v>29</v>
      </c>
      <c r="BH29" s="13">
        <f>G29*AO29</f>
        <v>0</v>
      </c>
      <c r="BI29" s="13">
        <f>G29*AP29</f>
        <v>0</v>
      </c>
      <c r="BJ29" s="13">
        <f>G29*H29</f>
        <v>0</v>
      </c>
      <c r="BK29" s="13"/>
      <c r="BL29" s="13">
        <v>31</v>
      </c>
      <c r="BW29" s="13">
        <v>21</v>
      </c>
    </row>
    <row r="30" spans="1:75" ht="13.5" customHeight="1" x14ac:dyDescent="0.25">
      <c r="A30" s="1" t="s">
        <v>99</v>
      </c>
      <c r="B30" s="2" t="s">
        <v>26</v>
      </c>
      <c r="C30" s="2" t="s">
        <v>100</v>
      </c>
      <c r="D30" s="95" t="s">
        <v>101</v>
      </c>
      <c r="E30" s="88"/>
      <c r="F30" s="2" t="s">
        <v>102</v>
      </c>
      <c r="G30" s="13">
        <v>0.12</v>
      </c>
      <c r="H30" s="78">
        <v>0</v>
      </c>
      <c r="I30" s="13">
        <f>G30*H30</f>
        <v>0</v>
      </c>
      <c r="K30" s="34"/>
      <c r="Z30" s="13">
        <f>IF(AQ30="5",BJ30,0)</f>
        <v>0</v>
      </c>
      <c r="AB30" s="13">
        <f>IF(AQ30="1",BH30,0)</f>
        <v>0</v>
      </c>
      <c r="AC30" s="13">
        <f>IF(AQ30="1",BI30,0)</f>
        <v>0</v>
      </c>
      <c r="AD30" s="13">
        <f>IF(AQ30="7",BH30,0)</f>
        <v>0</v>
      </c>
      <c r="AE30" s="13">
        <f>IF(AQ30="7",BI30,0)</f>
        <v>0</v>
      </c>
      <c r="AF30" s="13">
        <f>IF(AQ30="2",BH30,0)</f>
        <v>0</v>
      </c>
      <c r="AG30" s="13">
        <f>IF(AQ30="2",BI30,0)</f>
        <v>0</v>
      </c>
      <c r="AH30" s="13">
        <f>IF(AQ30="0",BJ30,0)</f>
        <v>0</v>
      </c>
      <c r="AI30" s="30" t="s">
        <v>26</v>
      </c>
      <c r="AJ30" s="13">
        <f>IF(AN30=0,I30,0)</f>
        <v>0</v>
      </c>
      <c r="AK30" s="13">
        <f>IF(AN30=12,I30,0)</f>
        <v>0</v>
      </c>
      <c r="AL30" s="13">
        <f>IF(AN30=21,I30,0)</f>
        <v>0</v>
      </c>
      <c r="AN30" s="13">
        <v>21</v>
      </c>
      <c r="AO30" s="13">
        <f>H30*0</f>
        <v>0</v>
      </c>
      <c r="AP30" s="13">
        <f>H30*(1-0)</f>
        <v>0</v>
      </c>
      <c r="AQ30" s="79" t="s">
        <v>23</v>
      </c>
      <c r="AV30" s="13">
        <f>AW30+AX30</f>
        <v>0</v>
      </c>
      <c r="AW30" s="13">
        <f>G30*AO30</f>
        <v>0</v>
      </c>
      <c r="AX30" s="13">
        <f>G30*AP30</f>
        <v>0</v>
      </c>
      <c r="AY30" s="79" t="s">
        <v>799</v>
      </c>
      <c r="AZ30" s="79" t="s">
        <v>800</v>
      </c>
      <c r="BA30" s="30" t="s">
        <v>801</v>
      </c>
      <c r="BC30" s="13">
        <f>AW30+AX30</f>
        <v>0</v>
      </c>
      <c r="BD30" s="13">
        <f>H30/(100-BE30)*100</f>
        <v>0</v>
      </c>
      <c r="BE30" s="13">
        <v>0</v>
      </c>
      <c r="BF30" s="13">
        <f>30</f>
        <v>30</v>
      </c>
      <c r="BH30" s="13">
        <f>G30*AO30</f>
        <v>0</v>
      </c>
      <c r="BI30" s="13">
        <f>G30*AP30</f>
        <v>0</v>
      </c>
      <c r="BJ30" s="13">
        <f>G30*H30</f>
        <v>0</v>
      </c>
      <c r="BK30" s="13"/>
      <c r="BL30" s="13">
        <v>31</v>
      </c>
      <c r="BW30" s="13">
        <v>21</v>
      </c>
    </row>
    <row r="31" spans="1:75" ht="13.5" customHeight="1" x14ac:dyDescent="0.25">
      <c r="A31" s="1" t="s">
        <v>104</v>
      </c>
      <c r="B31" s="2" t="s">
        <v>26</v>
      </c>
      <c r="C31" s="2" t="s">
        <v>105</v>
      </c>
      <c r="D31" s="95" t="s">
        <v>106</v>
      </c>
      <c r="E31" s="88"/>
      <c r="F31" s="2" t="s">
        <v>107</v>
      </c>
      <c r="G31" s="13">
        <v>1</v>
      </c>
      <c r="H31" s="78">
        <v>0</v>
      </c>
      <c r="I31" s="13">
        <f>G31*H31</f>
        <v>0</v>
      </c>
      <c r="K31" s="34"/>
      <c r="Z31" s="13">
        <f>IF(AQ31="5",BJ31,0)</f>
        <v>0</v>
      </c>
      <c r="AB31" s="13">
        <f>IF(AQ31="1",BH31,0)</f>
        <v>0</v>
      </c>
      <c r="AC31" s="13">
        <f>IF(AQ31="1",BI31,0)</f>
        <v>0</v>
      </c>
      <c r="AD31" s="13">
        <f>IF(AQ31="7",BH31,0)</f>
        <v>0</v>
      </c>
      <c r="AE31" s="13">
        <f>IF(AQ31="7",BI31,0)</f>
        <v>0</v>
      </c>
      <c r="AF31" s="13">
        <f>IF(AQ31="2",BH31,0)</f>
        <v>0</v>
      </c>
      <c r="AG31" s="13">
        <f>IF(AQ31="2",BI31,0)</f>
        <v>0</v>
      </c>
      <c r="AH31" s="13">
        <f>IF(AQ31="0",BJ31,0)</f>
        <v>0</v>
      </c>
      <c r="AI31" s="30" t="s">
        <v>26</v>
      </c>
      <c r="AJ31" s="13">
        <f>IF(AN31=0,I31,0)</f>
        <v>0</v>
      </c>
      <c r="AK31" s="13">
        <f>IF(AN31=12,I31,0)</f>
        <v>0</v>
      </c>
      <c r="AL31" s="13">
        <f>IF(AN31=21,I31,0)</f>
        <v>0</v>
      </c>
      <c r="AN31" s="13">
        <v>21</v>
      </c>
      <c r="AO31" s="13">
        <f>H31*0.364982456</f>
        <v>0</v>
      </c>
      <c r="AP31" s="13">
        <f>H31*(1-0.364982456)</f>
        <v>0</v>
      </c>
      <c r="AQ31" s="79" t="s">
        <v>23</v>
      </c>
      <c r="AV31" s="13">
        <f>AW31+AX31</f>
        <v>0</v>
      </c>
      <c r="AW31" s="13">
        <f>G31*AO31</f>
        <v>0</v>
      </c>
      <c r="AX31" s="13">
        <f>G31*AP31</f>
        <v>0</v>
      </c>
      <c r="AY31" s="79" t="s">
        <v>799</v>
      </c>
      <c r="AZ31" s="79" t="s">
        <v>800</v>
      </c>
      <c r="BA31" s="30" t="s">
        <v>801</v>
      </c>
      <c r="BC31" s="13">
        <f>AW31+AX31</f>
        <v>0</v>
      </c>
      <c r="BD31" s="13">
        <f>H31/(100-BE31)*100</f>
        <v>0</v>
      </c>
      <c r="BE31" s="13">
        <v>0</v>
      </c>
      <c r="BF31" s="13">
        <f>31</f>
        <v>31</v>
      </c>
      <c r="BH31" s="13">
        <f>G31*AO31</f>
        <v>0</v>
      </c>
      <c r="BI31" s="13">
        <f>G31*AP31</f>
        <v>0</v>
      </c>
      <c r="BJ31" s="13">
        <f>G31*H31</f>
        <v>0</v>
      </c>
      <c r="BK31" s="13"/>
      <c r="BL31" s="13">
        <v>31</v>
      </c>
      <c r="BW31" s="13">
        <v>21</v>
      </c>
    </row>
    <row r="32" spans="1:75" ht="13.5" customHeight="1" x14ac:dyDescent="0.25">
      <c r="A32" s="32"/>
      <c r="C32" s="80" t="s">
        <v>802</v>
      </c>
      <c r="D32" s="113" t="s">
        <v>803</v>
      </c>
      <c r="E32" s="114"/>
      <c r="F32" s="114"/>
      <c r="G32" s="114"/>
      <c r="H32" s="184"/>
      <c r="I32" s="114"/>
      <c r="J32" s="114"/>
      <c r="K32" s="185"/>
    </row>
    <row r="33" spans="1:75" x14ac:dyDescent="0.25">
      <c r="A33" s="75" t="s">
        <v>20</v>
      </c>
      <c r="B33" s="29" t="s">
        <v>26</v>
      </c>
      <c r="C33" s="29" t="s">
        <v>108</v>
      </c>
      <c r="D33" s="183" t="s">
        <v>109</v>
      </c>
      <c r="E33" s="112"/>
      <c r="F33" s="76" t="s">
        <v>13</v>
      </c>
      <c r="G33" s="76" t="s">
        <v>13</v>
      </c>
      <c r="H33" s="77" t="s">
        <v>13</v>
      </c>
      <c r="I33" s="61">
        <f>SUM(I34:I46)</f>
        <v>0</v>
      </c>
      <c r="K33" s="34"/>
      <c r="AI33" s="30" t="s">
        <v>26</v>
      </c>
      <c r="AS33" s="61">
        <f>SUM(AJ34:AJ46)</f>
        <v>0</v>
      </c>
      <c r="AT33" s="61">
        <f>SUM(AK34:AK46)</f>
        <v>0</v>
      </c>
      <c r="AU33" s="61">
        <f>SUM(AL34:AL46)</f>
        <v>0</v>
      </c>
    </row>
    <row r="34" spans="1:75" ht="13.5" customHeight="1" x14ac:dyDescent="0.25">
      <c r="A34" s="1" t="s">
        <v>110</v>
      </c>
      <c r="B34" s="2" t="s">
        <v>26</v>
      </c>
      <c r="C34" s="2" t="s">
        <v>111</v>
      </c>
      <c r="D34" s="95" t="s">
        <v>112</v>
      </c>
      <c r="E34" s="88"/>
      <c r="F34" s="2" t="s">
        <v>91</v>
      </c>
      <c r="G34" s="13">
        <v>9.5675000000000008</v>
      </c>
      <c r="H34" s="78">
        <v>0</v>
      </c>
      <c r="I34" s="13">
        <f>G34*H34</f>
        <v>0</v>
      </c>
      <c r="K34" s="34"/>
      <c r="Z34" s="13">
        <f>IF(AQ34="5",BJ34,0)</f>
        <v>0</v>
      </c>
      <c r="AB34" s="13">
        <f>IF(AQ34="1",BH34,0)</f>
        <v>0</v>
      </c>
      <c r="AC34" s="13">
        <f>IF(AQ34="1",BI34,0)</f>
        <v>0</v>
      </c>
      <c r="AD34" s="13">
        <f>IF(AQ34="7",BH34,0)</f>
        <v>0</v>
      </c>
      <c r="AE34" s="13">
        <f>IF(AQ34="7",BI34,0)</f>
        <v>0</v>
      </c>
      <c r="AF34" s="13">
        <f>IF(AQ34="2",BH34,0)</f>
        <v>0</v>
      </c>
      <c r="AG34" s="13">
        <f>IF(AQ34="2",BI34,0)</f>
        <v>0</v>
      </c>
      <c r="AH34" s="13">
        <f>IF(AQ34="0",BJ34,0)</f>
        <v>0</v>
      </c>
      <c r="AI34" s="30" t="s">
        <v>26</v>
      </c>
      <c r="AJ34" s="13">
        <f>IF(AN34=0,I34,0)</f>
        <v>0</v>
      </c>
      <c r="AK34" s="13">
        <f>IF(AN34=12,I34,0)</f>
        <v>0</v>
      </c>
      <c r="AL34" s="13">
        <f>IF(AN34=21,I34,0)</f>
        <v>0</v>
      </c>
      <c r="AN34" s="13">
        <v>21</v>
      </c>
      <c r="AO34" s="13">
        <f>H34*0.749757452</f>
        <v>0</v>
      </c>
      <c r="AP34" s="13">
        <f>H34*(1-0.749757452)</f>
        <v>0</v>
      </c>
      <c r="AQ34" s="79" t="s">
        <v>23</v>
      </c>
      <c r="AV34" s="13">
        <f>AW34+AX34</f>
        <v>0</v>
      </c>
      <c r="AW34" s="13">
        <f>G34*AO34</f>
        <v>0</v>
      </c>
      <c r="AX34" s="13">
        <f>G34*AP34</f>
        <v>0</v>
      </c>
      <c r="AY34" s="79" t="s">
        <v>804</v>
      </c>
      <c r="AZ34" s="79" t="s">
        <v>800</v>
      </c>
      <c r="BA34" s="30" t="s">
        <v>801</v>
      </c>
      <c r="BC34" s="13">
        <f>AW34+AX34</f>
        <v>0</v>
      </c>
      <c r="BD34" s="13">
        <f>H34/(100-BE34)*100</f>
        <v>0</v>
      </c>
      <c r="BE34" s="13">
        <v>0</v>
      </c>
      <c r="BF34" s="13">
        <f>34</f>
        <v>34</v>
      </c>
      <c r="BH34" s="13">
        <f>G34*AO34</f>
        <v>0</v>
      </c>
      <c r="BI34" s="13">
        <f>G34*AP34</f>
        <v>0</v>
      </c>
      <c r="BJ34" s="13">
        <f>G34*H34</f>
        <v>0</v>
      </c>
      <c r="BK34" s="13"/>
      <c r="BL34" s="13">
        <v>34</v>
      </c>
      <c r="BW34" s="13">
        <v>21</v>
      </c>
    </row>
    <row r="35" spans="1:75" ht="13.5" customHeight="1" x14ac:dyDescent="0.25">
      <c r="A35" s="1" t="s">
        <v>114</v>
      </c>
      <c r="B35" s="2" t="s">
        <v>26</v>
      </c>
      <c r="C35" s="2" t="s">
        <v>115</v>
      </c>
      <c r="D35" s="95" t="s">
        <v>116</v>
      </c>
      <c r="E35" s="88"/>
      <c r="F35" s="2" t="s">
        <v>107</v>
      </c>
      <c r="G35" s="13">
        <v>2</v>
      </c>
      <c r="H35" s="78">
        <v>0</v>
      </c>
      <c r="I35" s="13">
        <f>G35*H35</f>
        <v>0</v>
      </c>
      <c r="K35" s="34"/>
      <c r="Z35" s="13">
        <f>IF(AQ35="5",BJ35,0)</f>
        <v>0</v>
      </c>
      <c r="AB35" s="13">
        <f>IF(AQ35="1",BH35,0)</f>
        <v>0</v>
      </c>
      <c r="AC35" s="13">
        <f>IF(AQ35="1",BI35,0)</f>
        <v>0</v>
      </c>
      <c r="AD35" s="13">
        <f>IF(AQ35="7",BH35,0)</f>
        <v>0</v>
      </c>
      <c r="AE35" s="13">
        <f>IF(AQ35="7",BI35,0)</f>
        <v>0</v>
      </c>
      <c r="AF35" s="13">
        <f>IF(AQ35="2",BH35,0)</f>
        <v>0</v>
      </c>
      <c r="AG35" s="13">
        <f>IF(AQ35="2",BI35,0)</f>
        <v>0</v>
      </c>
      <c r="AH35" s="13">
        <f>IF(AQ35="0",BJ35,0)</f>
        <v>0</v>
      </c>
      <c r="AI35" s="30" t="s">
        <v>26</v>
      </c>
      <c r="AJ35" s="13">
        <f>IF(AN35=0,I35,0)</f>
        <v>0</v>
      </c>
      <c r="AK35" s="13">
        <f>IF(AN35=12,I35,0)</f>
        <v>0</v>
      </c>
      <c r="AL35" s="13">
        <f>IF(AN35=21,I35,0)</f>
        <v>0</v>
      </c>
      <c r="AN35" s="13">
        <v>21</v>
      </c>
      <c r="AO35" s="13">
        <f>H35*0.018833333</f>
        <v>0</v>
      </c>
      <c r="AP35" s="13">
        <f>H35*(1-0.018833333)</f>
        <v>0</v>
      </c>
      <c r="AQ35" s="79" t="s">
        <v>23</v>
      </c>
      <c r="AV35" s="13">
        <f>AW35+AX35</f>
        <v>0</v>
      </c>
      <c r="AW35" s="13">
        <f>G35*AO35</f>
        <v>0</v>
      </c>
      <c r="AX35" s="13">
        <f>G35*AP35</f>
        <v>0</v>
      </c>
      <c r="AY35" s="79" t="s">
        <v>804</v>
      </c>
      <c r="AZ35" s="79" t="s">
        <v>800</v>
      </c>
      <c r="BA35" s="30" t="s">
        <v>801</v>
      </c>
      <c r="BC35" s="13">
        <f>AW35+AX35</f>
        <v>0</v>
      </c>
      <c r="BD35" s="13">
        <f>H35/(100-BE35)*100</f>
        <v>0</v>
      </c>
      <c r="BE35" s="13">
        <v>0</v>
      </c>
      <c r="BF35" s="13">
        <f>35</f>
        <v>35</v>
      </c>
      <c r="BH35" s="13">
        <f>G35*AO35</f>
        <v>0</v>
      </c>
      <c r="BI35" s="13">
        <f>G35*AP35</f>
        <v>0</v>
      </c>
      <c r="BJ35" s="13">
        <f>G35*H35</f>
        <v>0</v>
      </c>
      <c r="BK35" s="13"/>
      <c r="BL35" s="13">
        <v>34</v>
      </c>
      <c r="BW35" s="13">
        <v>21</v>
      </c>
    </row>
    <row r="36" spans="1:75" ht="13.5" customHeight="1" x14ac:dyDescent="0.25">
      <c r="A36" s="1" t="s">
        <v>117</v>
      </c>
      <c r="B36" s="2" t="s">
        <v>26</v>
      </c>
      <c r="C36" s="2" t="s">
        <v>118</v>
      </c>
      <c r="D36" s="95" t="s">
        <v>119</v>
      </c>
      <c r="E36" s="88"/>
      <c r="F36" s="2" t="s">
        <v>107</v>
      </c>
      <c r="G36" s="13">
        <v>2</v>
      </c>
      <c r="H36" s="78">
        <v>0</v>
      </c>
      <c r="I36" s="13">
        <f>G36*H36</f>
        <v>0</v>
      </c>
      <c r="K36" s="34"/>
      <c r="Z36" s="13">
        <f>IF(AQ36="5",BJ36,0)</f>
        <v>0</v>
      </c>
      <c r="AB36" s="13">
        <f>IF(AQ36="1",BH36,0)</f>
        <v>0</v>
      </c>
      <c r="AC36" s="13">
        <f>IF(AQ36="1",BI36,0)</f>
        <v>0</v>
      </c>
      <c r="AD36" s="13">
        <f>IF(AQ36="7",BH36,0)</f>
        <v>0</v>
      </c>
      <c r="AE36" s="13">
        <f>IF(AQ36="7",BI36,0)</f>
        <v>0</v>
      </c>
      <c r="AF36" s="13">
        <f>IF(AQ36="2",BH36,0)</f>
        <v>0</v>
      </c>
      <c r="AG36" s="13">
        <f>IF(AQ36="2",BI36,0)</f>
        <v>0</v>
      </c>
      <c r="AH36" s="13">
        <f>IF(AQ36="0",BJ36,0)</f>
        <v>0</v>
      </c>
      <c r="AI36" s="30" t="s">
        <v>26</v>
      </c>
      <c r="AJ36" s="13">
        <f>IF(AN36=0,I36,0)</f>
        <v>0</v>
      </c>
      <c r="AK36" s="13">
        <f>IF(AN36=12,I36,0)</f>
        <v>0</v>
      </c>
      <c r="AL36" s="13">
        <f>IF(AN36=21,I36,0)</f>
        <v>0</v>
      </c>
      <c r="AN36" s="13">
        <v>21</v>
      </c>
      <c r="AO36" s="13">
        <f>H36*1</f>
        <v>0</v>
      </c>
      <c r="AP36" s="13">
        <f>H36*(1-1)</f>
        <v>0</v>
      </c>
      <c r="AQ36" s="79" t="s">
        <v>23</v>
      </c>
      <c r="AV36" s="13">
        <f>AW36+AX36</f>
        <v>0</v>
      </c>
      <c r="AW36" s="13">
        <f>G36*AO36</f>
        <v>0</v>
      </c>
      <c r="AX36" s="13">
        <f>G36*AP36</f>
        <v>0</v>
      </c>
      <c r="AY36" s="79" t="s">
        <v>804</v>
      </c>
      <c r="AZ36" s="79" t="s">
        <v>800</v>
      </c>
      <c r="BA36" s="30" t="s">
        <v>801</v>
      </c>
      <c r="BC36" s="13">
        <f>AW36+AX36</f>
        <v>0</v>
      </c>
      <c r="BD36" s="13">
        <f>H36/(100-BE36)*100</f>
        <v>0</v>
      </c>
      <c r="BE36" s="13">
        <v>0</v>
      </c>
      <c r="BF36" s="13">
        <f>36</f>
        <v>36</v>
      </c>
      <c r="BH36" s="13">
        <f>G36*AO36</f>
        <v>0</v>
      </c>
      <c r="BI36" s="13">
        <f>G36*AP36</f>
        <v>0</v>
      </c>
      <c r="BJ36" s="13">
        <f>G36*H36</f>
        <v>0</v>
      </c>
      <c r="BK36" s="13"/>
      <c r="BL36" s="13">
        <v>34</v>
      </c>
      <c r="BW36" s="13">
        <v>21</v>
      </c>
    </row>
    <row r="37" spans="1:75" ht="13.5" customHeight="1" x14ac:dyDescent="0.25">
      <c r="A37" s="1" t="s">
        <v>120</v>
      </c>
      <c r="B37" s="2" t="s">
        <v>26</v>
      </c>
      <c r="C37" s="2" t="s">
        <v>121</v>
      </c>
      <c r="D37" s="95" t="s">
        <v>122</v>
      </c>
      <c r="E37" s="88"/>
      <c r="F37" s="2" t="s">
        <v>91</v>
      </c>
      <c r="G37" s="13">
        <v>21.939499999999999</v>
      </c>
      <c r="H37" s="78">
        <v>0</v>
      </c>
      <c r="I37" s="13">
        <f>G37*H37</f>
        <v>0</v>
      </c>
      <c r="K37" s="34"/>
      <c r="Z37" s="13">
        <f>IF(AQ37="5",BJ37,0)</f>
        <v>0</v>
      </c>
      <c r="AB37" s="13">
        <f>IF(AQ37="1",BH37,0)</f>
        <v>0</v>
      </c>
      <c r="AC37" s="13">
        <f>IF(AQ37="1",BI37,0)</f>
        <v>0</v>
      </c>
      <c r="AD37" s="13">
        <f>IF(AQ37="7",BH37,0)</f>
        <v>0</v>
      </c>
      <c r="AE37" s="13">
        <f>IF(AQ37="7",BI37,0)</f>
        <v>0</v>
      </c>
      <c r="AF37" s="13">
        <f>IF(AQ37="2",BH37,0)</f>
        <v>0</v>
      </c>
      <c r="AG37" s="13">
        <f>IF(AQ37="2",BI37,0)</f>
        <v>0</v>
      </c>
      <c r="AH37" s="13">
        <f>IF(AQ37="0",BJ37,0)</f>
        <v>0</v>
      </c>
      <c r="AI37" s="30" t="s">
        <v>26</v>
      </c>
      <c r="AJ37" s="13">
        <f>IF(AN37=0,I37,0)</f>
        <v>0</v>
      </c>
      <c r="AK37" s="13">
        <f>IF(AN37=12,I37,0)</f>
        <v>0</v>
      </c>
      <c r="AL37" s="13">
        <f>IF(AN37=21,I37,0)</f>
        <v>0</v>
      </c>
      <c r="AN37" s="13">
        <v>21</v>
      </c>
      <c r="AO37" s="13">
        <f>H37*0.587877847</f>
        <v>0</v>
      </c>
      <c r="AP37" s="13">
        <f>H37*(1-0.587877847)</f>
        <v>0</v>
      </c>
      <c r="AQ37" s="79" t="s">
        <v>23</v>
      </c>
      <c r="AV37" s="13">
        <f>AW37+AX37</f>
        <v>0</v>
      </c>
      <c r="AW37" s="13">
        <f>G37*AO37</f>
        <v>0</v>
      </c>
      <c r="AX37" s="13">
        <f>G37*AP37</f>
        <v>0</v>
      </c>
      <c r="AY37" s="79" t="s">
        <v>804</v>
      </c>
      <c r="AZ37" s="79" t="s">
        <v>800</v>
      </c>
      <c r="BA37" s="30" t="s">
        <v>801</v>
      </c>
      <c r="BC37" s="13">
        <f>AW37+AX37</f>
        <v>0</v>
      </c>
      <c r="BD37" s="13">
        <f>H37/(100-BE37)*100</f>
        <v>0</v>
      </c>
      <c r="BE37" s="13">
        <v>0</v>
      </c>
      <c r="BF37" s="13">
        <f>37</f>
        <v>37</v>
      </c>
      <c r="BH37" s="13">
        <f>G37*AO37</f>
        <v>0</v>
      </c>
      <c r="BI37" s="13">
        <f>G37*AP37</f>
        <v>0</v>
      </c>
      <c r="BJ37" s="13">
        <f>G37*H37</f>
        <v>0</v>
      </c>
      <c r="BK37" s="13"/>
      <c r="BL37" s="13">
        <v>34</v>
      </c>
      <c r="BW37" s="13">
        <v>21</v>
      </c>
    </row>
    <row r="38" spans="1:75" ht="13.5" customHeight="1" x14ac:dyDescent="0.25">
      <c r="A38" s="32"/>
      <c r="C38" s="80" t="s">
        <v>802</v>
      </c>
      <c r="D38" s="113" t="s">
        <v>805</v>
      </c>
      <c r="E38" s="114"/>
      <c r="F38" s="114"/>
      <c r="G38" s="114"/>
      <c r="H38" s="184"/>
      <c r="I38" s="114"/>
      <c r="J38" s="114"/>
      <c r="K38" s="185"/>
    </row>
    <row r="39" spans="1:75" ht="13.5" customHeight="1" x14ac:dyDescent="0.25">
      <c r="A39" s="1" t="s">
        <v>124</v>
      </c>
      <c r="B39" s="2" t="s">
        <v>26</v>
      </c>
      <c r="C39" s="2" t="s">
        <v>125</v>
      </c>
      <c r="D39" s="95" t="s">
        <v>126</v>
      </c>
      <c r="E39" s="88"/>
      <c r="F39" s="2" t="s">
        <v>127</v>
      </c>
      <c r="G39" s="13">
        <v>8.9</v>
      </c>
      <c r="H39" s="78">
        <v>0</v>
      </c>
      <c r="I39" s="13">
        <f>G39*H39</f>
        <v>0</v>
      </c>
      <c r="K39" s="34"/>
      <c r="Z39" s="13">
        <f>IF(AQ39="5",BJ39,0)</f>
        <v>0</v>
      </c>
      <c r="AB39" s="13">
        <f>IF(AQ39="1",BH39,0)</f>
        <v>0</v>
      </c>
      <c r="AC39" s="13">
        <f>IF(AQ39="1",BI39,0)</f>
        <v>0</v>
      </c>
      <c r="AD39" s="13">
        <f>IF(AQ39="7",BH39,0)</f>
        <v>0</v>
      </c>
      <c r="AE39" s="13">
        <f>IF(AQ39="7",BI39,0)</f>
        <v>0</v>
      </c>
      <c r="AF39" s="13">
        <f>IF(AQ39="2",BH39,0)</f>
        <v>0</v>
      </c>
      <c r="AG39" s="13">
        <f>IF(AQ39="2",BI39,0)</f>
        <v>0</v>
      </c>
      <c r="AH39" s="13">
        <f>IF(AQ39="0",BJ39,0)</f>
        <v>0</v>
      </c>
      <c r="AI39" s="30" t="s">
        <v>26</v>
      </c>
      <c r="AJ39" s="13">
        <f>IF(AN39=0,I39,0)</f>
        <v>0</v>
      </c>
      <c r="AK39" s="13">
        <f>IF(AN39=12,I39,0)</f>
        <v>0</v>
      </c>
      <c r="AL39" s="13">
        <f>IF(AN39=21,I39,0)</f>
        <v>0</v>
      </c>
      <c r="AN39" s="13">
        <v>21</v>
      </c>
      <c r="AO39" s="13">
        <f>H39*0.214696377</f>
        <v>0</v>
      </c>
      <c r="AP39" s="13">
        <f>H39*(1-0.214696377)</f>
        <v>0</v>
      </c>
      <c r="AQ39" s="79" t="s">
        <v>23</v>
      </c>
      <c r="AV39" s="13">
        <f>AW39+AX39</f>
        <v>0</v>
      </c>
      <c r="AW39" s="13">
        <f>G39*AO39</f>
        <v>0</v>
      </c>
      <c r="AX39" s="13">
        <f>G39*AP39</f>
        <v>0</v>
      </c>
      <c r="AY39" s="79" t="s">
        <v>804</v>
      </c>
      <c r="AZ39" s="79" t="s">
        <v>800</v>
      </c>
      <c r="BA39" s="30" t="s">
        <v>801</v>
      </c>
      <c r="BC39" s="13">
        <f>AW39+AX39</f>
        <v>0</v>
      </c>
      <c r="BD39" s="13">
        <f>H39/(100-BE39)*100</f>
        <v>0</v>
      </c>
      <c r="BE39" s="13">
        <v>0</v>
      </c>
      <c r="BF39" s="13">
        <f>39</f>
        <v>39</v>
      </c>
      <c r="BH39" s="13">
        <f>G39*AO39</f>
        <v>0</v>
      </c>
      <c r="BI39" s="13">
        <f>G39*AP39</f>
        <v>0</v>
      </c>
      <c r="BJ39" s="13">
        <f>G39*H39</f>
        <v>0</v>
      </c>
      <c r="BK39" s="13"/>
      <c r="BL39" s="13">
        <v>34</v>
      </c>
      <c r="BW39" s="13">
        <v>21</v>
      </c>
    </row>
    <row r="40" spans="1:75" ht="13.5" customHeight="1" x14ac:dyDescent="0.25">
      <c r="A40" s="32"/>
      <c r="C40" s="80" t="s">
        <v>802</v>
      </c>
      <c r="D40" s="113" t="s">
        <v>806</v>
      </c>
      <c r="E40" s="114"/>
      <c r="F40" s="114"/>
      <c r="G40" s="114"/>
      <c r="H40" s="184"/>
      <c r="I40" s="114"/>
      <c r="J40" s="114"/>
      <c r="K40" s="185"/>
    </row>
    <row r="41" spans="1:75" ht="13.5" customHeight="1" x14ac:dyDescent="0.25">
      <c r="A41" s="1" t="s">
        <v>129</v>
      </c>
      <c r="B41" s="2" t="s">
        <v>26</v>
      </c>
      <c r="C41" s="2" t="s">
        <v>130</v>
      </c>
      <c r="D41" s="95" t="s">
        <v>131</v>
      </c>
      <c r="E41" s="88"/>
      <c r="F41" s="2" t="s">
        <v>127</v>
      </c>
      <c r="G41" s="13">
        <v>8.9</v>
      </c>
      <c r="H41" s="78">
        <v>0</v>
      </c>
      <c r="I41" s="13">
        <f>G41*H41</f>
        <v>0</v>
      </c>
      <c r="K41" s="34"/>
      <c r="Z41" s="13">
        <f>IF(AQ41="5",BJ41,0)</f>
        <v>0</v>
      </c>
      <c r="AB41" s="13">
        <f>IF(AQ41="1",BH41,0)</f>
        <v>0</v>
      </c>
      <c r="AC41" s="13">
        <f>IF(AQ41="1",BI41,0)</f>
        <v>0</v>
      </c>
      <c r="AD41" s="13">
        <f>IF(AQ41="7",BH41,0)</f>
        <v>0</v>
      </c>
      <c r="AE41" s="13">
        <f>IF(AQ41="7",BI41,0)</f>
        <v>0</v>
      </c>
      <c r="AF41" s="13">
        <f>IF(AQ41="2",BH41,0)</f>
        <v>0</v>
      </c>
      <c r="AG41" s="13">
        <f>IF(AQ41="2",BI41,0)</f>
        <v>0</v>
      </c>
      <c r="AH41" s="13">
        <f>IF(AQ41="0",BJ41,0)</f>
        <v>0</v>
      </c>
      <c r="AI41" s="30" t="s">
        <v>26</v>
      </c>
      <c r="AJ41" s="13">
        <f>IF(AN41=0,I41,0)</f>
        <v>0</v>
      </c>
      <c r="AK41" s="13">
        <f>IF(AN41=12,I41,0)</f>
        <v>0</v>
      </c>
      <c r="AL41" s="13">
        <f>IF(AN41=21,I41,0)</f>
        <v>0</v>
      </c>
      <c r="AN41" s="13">
        <v>21</v>
      </c>
      <c r="AO41" s="13">
        <f>H41*0.185713886</f>
        <v>0</v>
      </c>
      <c r="AP41" s="13">
        <f>H41*(1-0.185713886)</f>
        <v>0</v>
      </c>
      <c r="AQ41" s="79" t="s">
        <v>23</v>
      </c>
      <c r="AV41" s="13">
        <f>AW41+AX41</f>
        <v>0</v>
      </c>
      <c r="AW41" s="13">
        <f>G41*AO41</f>
        <v>0</v>
      </c>
      <c r="AX41" s="13">
        <f>G41*AP41</f>
        <v>0</v>
      </c>
      <c r="AY41" s="79" t="s">
        <v>804</v>
      </c>
      <c r="AZ41" s="79" t="s">
        <v>800</v>
      </c>
      <c r="BA41" s="30" t="s">
        <v>801</v>
      </c>
      <c r="BC41" s="13">
        <f>AW41+AX41</f>
        <v>0</v>
      </c>
      <c r="BD41" s="13">
        <f>H41/(100-BE41)*100</f>
        <v>0</v>
      </c>
      <c r="BE41" s="13">
        <v>0</v>
      </c>
      <c r="BF41" s="13">
        <f>41</f>
        <v>41</v>
      </c>
      <c r="BH41" s="13">
        <f>G41*AO41</f>
        <v>0</v>
      </c>
      <c r="BI41" s="13">
        <f>G41*AP41</f>
        <v>0</v>
      </c>
      <c r="BJ41" s="13">
        <f>G41*H41</f>
        <v>0</v>
      </c>
      <c r="BK41" s="13"/>
      <c r="BL41" s="13">
        <v>34</v>
      </c>
      <c r="BW41" s="13">
        <v>21</v>
      </c>
    </row>
    <row r="42" spans="1:75" ht="13.5" customHeight="1" x14ac:dyDescent="0.25">
      <c r="A42" s="1" t="s">
        <v>132</v>
      </c>
      <c r="B42" s="2" t="s">
        <v>26</v>
      </c>
      <c r="C42" s="2" t="s">
        <v>133</v>
      </c>
      <c r="D42" s="95" t="s">
        <v>134</v>
      </c>
      <c r="E42" s="88"/>
      <c r="F42" s="2" t="s">
        <v>91</v>
      </c>
      <c r="G42" s="13">
        <v>0.60199999999999998</v>
      </c>
      <c r="H42" s="78">
        <v>0</v>
      </c>
      <c r="I42" s="13">
        <f>G42*H42</f>
        <v>0</v>
      </c>
      <c r="K42" s="34"/>
      <c r="Z42" s="13">
        <f>IF(AQ42="5",BJ42,0)</f>
        <v>0</v>
      </c>
      <c r="AB42" s="13">
        <f>IF(AQ42="1",BH42,0)</f>
        <v>0</v>
      </c>
      <c r="AC42" s="13">
        <f>IF(AQ42="1",BI42,0)</f>
        <v>0</v>
      </c>
      <c r="AD42" s="13">
        <f>IF(AQ42="7",BH42,0)</f>
        <v>0</v>
      </c>
      <c r="AE42" s="13">
        <f>IF(AQ42="7",BI42,0)</f>
        <v>0</v>
      </c>
      <c r="AF42" s="13">
        <f>IF(AQ42="2",BH42,0)</f>
        <v>0</v>
      </c>
      <c r="AG42" s="13">
        <f>IF(AQ42="2",BI42,0)</f>
        <v>0</v>
      </c>
      <c r="AH42" s="13">
        <f>IF(AQ42="0",BJ42,0)</f>
        <v>0</v>
      </c>
      <c r="AI42" s="30" t="s">
        <v>26</v>
      </c>
      <c r="AJ42" s="13">
        <f>IF(AN42=0,I42,0)</f>
        <v>0</v>
      </c>
      <c r="AK42" s="13">
        <f>IF(AN42=12,I42,0)</f>
        <v>0</v>
      </c>
      <c r="AL42" s="13">
        <f>IF(AN42=21,I42,0)</f>
        <v>0</v>
      </c>
      <c r="AN42" s="13">
        <v>21</v>
      </c>
      <c r="AO42" s="13">
        <f>H42*0.508210796</f>
        <v>0</v>
      </c>
      <c r="AP42" s="13">
        <f>H42*(1-0.508210796)</f>
        <v>0</v>
      </c>
      <c r="AQ42" s="79" t="s">
        <v>23</v>
      </c>
      <c r="AV42" s="13">
        <f>AW42+AX42</f>
        <v>0</v>
      </c>
      <c r="AW42" s="13">
        <f>G42*AO42</f>
        <v>0</v>
      </c>
      <c r="AX42" s="13">
        <f>G42*AP42</f>
        <v>0</v>
      </c>
      <c r="AY42" s="79" t="s">
        <v>804</v>
      </c>
      <c r="AZ42" s="79" t="s">
        <v>800</v>
      </c>
      <c r="BA42" s="30" t="s">
        <v>801</v>
      </c>
      <c r="BC42" s="13">
        <f>AW42+AX42</f>
        <v>0</v>
      </c>
      <c r="BD42" s="13">
        <f>H42/(100-BE42)*100</f>
        <v>0</v>
      </c>
      <c r="BE42" s="13">
        <v>0</v>
      </c>
      <c r="BF42" s="13">
        <f>42</f>
        <v>42</v>
      </c>
      <c r="BH42" s="13">
        <f>G42*AO42</f>
        <v>0</v>
      </c>
      <c r="BI42" s="13">
        <f>G42*AP42</f>
        <v>0</v>
      </c>
      <c r="BJ42" s="13">
        <f>G42*H42</f>
        <v>0</v>
      </c>
      <c r="BK42" s="13"/>
      <c r="BL42" s="13">
        <v>34</v>
      </c>
      <c r="BW42" s="13">
        <v>21</v>
      </c>
    </row>
    <row r="43" spans="1:75" ht="13.5" customHeight="1" x14ac:dyDescent="0.25">
      <c r="A43" s="32"/>
      <c r="C43" s="80" t="s">
        <v>802</v>
      </c>
      <c r="D43" s="113" t="s">
        <v>807</v>
      </c>
      <c r="E43" s="114"/>
      <c r="F43" s="114"/>
      <c r="G43" s="114"/>
      <c r="H43" s="184"/>
      <c r="I43" s="114"/>
      <c r="J43" s="114"/>
      <c r="K43" s="185"/>
    </row>
    <row r="44" spans="1:75" ht="13.5" customHeight="1" x14ac:dyDescent="0.25">
      <c r="A44" s="1" t="s">
        <v>136</v>
      </c>
      <c r="B44" s="2" t="s">
        <v>26</v>
      </c>
      <c r="C44" s="2" t="s">
        <v>137</v>
      </c>
      <c r="D44" s="95" t="s">
        <v>138</v>
      </c>
      <c r="E44" s="88"/>
      <c r="F44" s="2" t="s">
        <v>91</v>
      </c>
      <c r="G44" s="13">
        <v>17.574750000000002</v>
      </c>
      <c r="H44" s="78">
        <v>0</v>
      </c>
      <c r="I44" s="13">
        <f>G44*H44</f>
        <v>0</v>
      </c>
      <c r="K44" s="34"/>
      <c r="Z44" s="13">
        <f>IF(AQ44="5",BJ44,0)</f>
        <v>0</v>
      </c>
      <c r="AB44" s="13">
        <f>IF(AQ44="1",BH44,0)</f>
        <v>0</v>
      </c>
      <c r="AC44" s="13">
        <f>IF(AQ44="1",BI44,0)</f>
        <v>0</v>
      </c>
      <c r="AD44" s="13">
        <f>IF(AQ44="7",BH44,0)</f>
        <v>0</v>
      </c>
      <c r="AE44" s="13">
        <f>IF(AQ44="7",BI44,0)</f>
        <v>0</v>
      </c>
      <c r="AF44" s="13">
        <f>IF(AQ44="2",BH44,0)</f>
        <v>0</v>
      </c>
      <c r="AG44" s="13">
        <f>IF(AQ44="2",BI44,0)</f>
        <v>0</v>
      </c>
      <c r="AH44" s="13">
        <f>IF(AQ44="0",BJ44,0)</f>
        <v>0</v>
      </c>
      <c r="AI44" s="30" t="s">
        <v>26</v>
      </c>
      <c r="AJ44" s="13">
        <f>IF(AN44=0,I44,0)</f>
        <v>0</v>
      </c>
      <c r="AK44" s="13">
        <f>IF(AN44=12,I44,0)</f>
        <v>0</v>
      </c>
      <c r="AL44" s="13">
        <f>IF(AN44=21,I44,0)</f>
        <v>0</v>
      </c>
      <c r="AN44" s="13">
        <v>21</v>
      </c>
      <c r="AO44" s="13">
        <f>H44*0.454079245</f>
        <v>0</v>
      </c>
      <c r="AP44" s="13">
        <f>H44*(1-0.454079245)</f>
        <v>0</v>
      </c>
      <c r="AQ44" s="79" t="s">
        <v>23</v>
      </c>
      <c r="AV44" s="13">
        <f>AW44+AX44</f>
        <v>0</v>
      </c>
      <c r="AW44" s="13">
        <f>G44*AO44</f>
        <v>0</v>
      </c>
      <c r="AX44" s="13">
        <f>G44*AP44</f>
        <v>0</v>
      </c>
      <c r="AY44" s="79" t="s">
        <v>804</v>
      </c>
      <c r="AZ44" s="79" t="s">
        <v>800</v>
      </c>
      <c r="BA44" s="30" t="s">
        <v>801</v>
      </c>
      <c r="BC44" s="13">
        <f>AW44+AX44</f>
        <v>0</v>
      </c>
      <c r="BD44" s="13">
        <f>H44/(100-BE44)*100</f>
        <v>0</v>
      </c>
      <c r="BE44" s="13">
        <v>0</v>
      </c>
      <c r="BF44" s="13">
        <f>44</f>
        <v>44</v>
      </c>
      <c r="BH44" s="13">
        <f>G44*AO44</f>
        <v>0</v>
      </c>
      <c r="BI44" s="13">
        <f>G44*AP44</f>
        <v>0</v>
      </c>
      <c r="BJ44" s="13">
        <f>G44*H44</f>
        <v>0</v>
      </c>
      <c r="BK44" s="13"/>
      <c r="BL44" s="13">
        <v>34</v>
      </c>
      <c r="BW44" s="13">
        <v>21</v>
      </c>
    </row>
    <row r="45" spans="1:75" ht="13.5" customHeight="1" x14ac:dyDescent="0.25">
      <c r="A45" s="32"/>
      <c r="C45" s="80" t="s">
        <v>802</v>
      </c>
      <c r="D45" s="113" t="s">
        <v>808</v>
      </c>
      <c r="E45" s="114"/>
      <c r="F45" s="114"/>
      <c r="G45" s="114"/>
      <c r="H45" s="184"/>
      <c r="I45" s="114"/>
      <c r="J45" s="114"/>
      <c r="K45" s="185"/>
    </row>
    <row r="46" spans="1:75" ht="13.5" customHeight="1" x14ac:dyDescent="0.25">
      <c r="A46" s="1" t="s">
        <v>140</v>
      </c>
      <c r="B46" s="2" t="s">
        <v>26</v>
      </c>
      <c r="C46" s="2" t="s">
        <v>141</v>
      </c>
      <c r="D46" s="95" t="s">
        <v>142</v>
      </c>
      <c r="E46" s="88"/>
      <c r="F46" s="2" t="s">
        <v>91</v>
      </c>
      <c r="G46" s="13">
        <v>7.9039999999999999</v>
      </c>
      <c r="H46" s="78">
        <v>0</v>
      </c>
      <c r="I46" s="13">
        <f>G46*H46</f>
        <v>0</v>
      </c>
      <c r="K46" s="34"/>
      <c r="Z46" s="13">
        <f>IF(AQ46="5",BJ46,0)</f>
        <v>0</v>
      </c>
      <c r="AB46" s="13">
        <f>IF(AQ46="1",BH46,0)</f>
        <v>0</v>
      </c>
      <c r="AC46" s="13">
        <f>IF(AQ46="1",BI46,0)</f>
        <v>0</v>
      </c>
      <c r="AD46" s="13">
        <f>IF(AQ46="7",BH46,0)</f>
        <v>0</v>
      </c>
      <c r="AE46" s="13">
        <f>IF(AQ46="7",BI46,0)</f>
        <v>0</v>
      </c>
      <c r="AF46" s="13">
        <f>IF(AQ46="2",BH46,0)</f>
        <v>0</v>
      </c>
      <c r="AG46" s="13">
        <f>IF(AQ46="2",BI46,0)</f>
        <v>0</v>
      </c>
      <c r="AH46" s="13">
        <f>IF(AQ46="0",BJ46,0)</f>
        <v>0</v>
      </c>
      <c r="AI46" s="30" t="s">
        <v>26</v>
      </c>
      <c r="AJ46" s="13">
        <f>IF(AN46=0,I46,0)</f>
        <v>0</v>
      </c>
      <c r="AK46" s="13">
        <f>IF(AN46=12,I46,0)</f>
        <v>0</v>
      </c>
      <c r="AL46" s="13">
        <f>IF(AN46=21,I46,0)</f>
        <v>0</v>
      </c>
      <c r="AN46" s="13">
        <v>21</v>
      </c>
      <c r="AO46" s="13">
        <f>H46*0.611741068</f>
        <v>0</v>
      </c>
      <c r="AP46" s="13">
        <f>H46*(1-0.611741068)</f>
        <v>0</v>
      </c>
      <c r="AQ46" s="79" t="s">
        <v>23</v>
      </c>
      <c r="AV46" s="13">
        <f>AW46+AX46</f>
        <v>0</v>
      </c>
      <c r="AW46" s="13">
        <f>G46*AO46</f>
        <v>0</v>
      </c>
      <c r="AX46" s="13">
        <f>G46*AP46</f>
        <v>0</v>
      </c>
      <c r="AY46" s="79" t="s">
        <v>804</v>
      </c>
      <c r="AZ46" s="79" t="s">
        <v>800</v>
      </c>
      <c r="BA46" s="30" t="s">
        <v>801</v>
      </c>
      <c r="BC46" s="13">
        <f>AW46+AX46</f>
        <v>0</v>
      </c>
      <c r="BD46" s="13">
        <f>H46/(100-BE46)*100</f>
        <v>0</v>
      </c>
      <c r="BE46" s="13">
        <v>0</v>
      </c>
      <c r="BF46" s="13">
        <f>46</f>
        <v>46</v>
      </c>
      <c r="BH46" s="13">
        <f>G46*AO46</f>
        <v>0</v>
      </c>
      <c r="BI46" s="13">
        <f>G46*AP46</f>
        <v>0</v>
      </c>
      <c r="BJ46" s="13">
        <f>G46*H46</f>
        <v>0</v>
      </c>
      <c r="BK46" s="13"/>
      <c r="BL46" s="13">
        <v>34</v>
      </c>
      <c r="BW46" s="13">
        <v>21</v>
      </c>
    </row>
    <row r="47" spans="1:75" x14ac:dyDescent="0.25">
      <c r="A47" s="75" t="s">
        <v>20</v>
      </c>
      <c r="B47" s="29" t="s">
        <v>26</v>
      </c>
      <c r="C47" s="29" t="s">
        <v>144</v>
      </c>
      <c r="D47" s="183" t="s">
        <v>145</v>
      </c>
      <c r="E47" s="112"/>
      <c r="F47" s="76" t="s">
        <v>13</v>
      </c>
      <c r="G47" s="76" t="s">
        <v>13</v>
      </c>
      <c r="H47" s="77" t="s">
        <v>13</v>
      </c>
      <c r="I47" s="61">
        <f>SUM(I48:I49)</f>
        <v>0</v>
      </c>
      <c r="K47" s="34"/>
      <c r="AI47" s="30" t="s">
        <v>26</v>
      </c>
      <c r="AS47" s="61">
        <f>SUM(AJ48:AJ49)</f>
        <v>0</v>
      </c>
      <c r="AT47" s="61">
        <f>SUM(AK48:AK49)</f>
        <v>0</v>
      </c>
      <c r="AU47" s="61">
        <f>SUM(AL48:AL49)</f>
        <v>0</v>
      </c>
    </row>
    <row r="48" spans="1:75" ht="13.5" customHeight="1" x14ac:dyDescent="0.25">
      <c r="A48" s="1" t="s">
        <v>146</v>
      </c>
      <c r="B48" s="2" t="s">
        <v>26</v>
      </c>
      <c r="C48" s="2" t="s">
        <v>147</v>
      </c>
      <c r="D48" s="95" t="s">
        <v>148</v>
      </c>
      <c r="E48" s="88"/>
      <c r="F48" s="2" t="s">
        <v>91</v>
      </c>
      <c r="G48" s="13">
        <v>88.36</v>
      </c>
      <c r="H48" s="78">
        <v>0</v>
      </c>
      <c r="I48" s="13">
        <f>G48*H48</f>
        <v>0</v>
      </c>
      <c r="K48" s="34"/>
      <c r="Z48" s="13">
        <f>IF(AQ48="5",BJ48,0)</f>
        <v>0</v>
      </c>
      <c r="AB48" s="13">
        <f>IF(AQ48="1",BH48,0)</f>
        <v>0</v>
      </c>
      <c r="AC48" s="13">
        <f>IF(AQ48="1",BI48,0)</f>
        <v>0</v>
      </c>
      <c r="AD48" s="13">
        <f>IF(AQ48="7",BH48,0)</f>
        <v>0</v>
      </c>
      <c r="AE48" s="13">
        <f>IF(AQ48="7",BI48,0)</f>
        <v>0</v>
      </c>
      <c r="AF48" s="13">
        <f>IF(AQ48="2",BH48,0)</f>
        <v>0</v>
      </c>
      <c r="AG48" s="13">
        <f>IF(AQ48="2",BI48,0)</f>
        <v>0</v>
      </c>
      <c r="AH48" s="13">
        <f>IF(AQ48="0",BJ48,0)</f>
        <v>0</v>
      </c>
      <c r="AI48" s="30" t="s">
        <v>26</v>
      </c>
      <c r="AJ48" s="13">
        <f>IF(AN48=0,I48,0)</f>
        <v>0</v>
      </c>
      <c r="AK48" s="13">
        <f>IF(AN48=12,I48,0)</f>
        <v>0</v>
      </c>
      <c r="AL48" s="13">
        <f>IF(AN48=21,I48,0)</f>
        <v>0</v>
      </c>
      <c r="AN48" s="13">
        <v>21</v>
      </c>
      <c r="AO48" s="13">
        <f>H48*0.134033361</f>
        <v>0</v>
      </c>
      <c r="AP48" s="13">
        <f>H48*(1-0.134033361)</f>
        <v>0</v>
      </c>
      <c r="AQ48" s="79" t="s">
        <v>23</v>
      </c>
      <c r="AV48" s="13">
        <f>AW48+AX48</f>
        <v>0</v>
      </c>
      <c r="AW48" s="13">
        <f>G48*AO48</f>
        <v>0</v>
      </c>
      <c r="AX48" s="13">
        <f>G48*AP48</f>
        <v>0</v>
      </c>
      <c r="AY48" s="79" t="s">
        <v>809</v>
      </c>
      <c r="AZ48" s="79" t="s">
        <v>810</v>
      </c>
      <c r="BA48" s="30" t="s">
        <v>801</v>
      </c>
      <c r="BC48" s="13">
        <f>AW48+AX48</f>
        <v>0</v>
      </c>
      <c r="BD48" s="13">
        <f>H48/(100-BE48)*100</f>
        <v>0</v>
      </c>
      <c r="BE48" s="13">
        <v>0</v>
      </c>
      <c r="BF48" s="13">
        <f>48</f>
        <v>48</v>
      </c>
      <c r="BH48" s="13">
        <f>G48*AO48</f>
        <v>0</v>
      </c>
      <c r="BI48" s="13">
        <f>G48*AP48</f>
        <v>0</v>
      </c>
      <c r="BJ48" s="13">
        <f>G48*H48</f>
        <v>0</v>
      </c>
      <c r="BK48" s="13"/>
      <c r="BL48" s="13">
        <v>60</v>
      </c>
      <c r="BW48" s="13">
        <v>21</v>
      </c>
    </row>
    <row r="49" spans="1:75" ht="13.5" customHeight="1" x14ac:dyDescent="0.25">
      <c r="A49" s="1" t="s">
        <v>151</v>
      </c>
      <c r="B49" s="2" t="s">
        <v>26</v>
      </c>
      <c r="C49" s="2" t="s">
        <v>152</v>
      </c>
      <c r="D49" s="95" t="s">
        <v>153</v>
      </c>
      <c r="E49" s="88"/>
      <c r="F49" s="2" t="s">
        <v>91</v>
      </c>
      <c r="G49" s="13">
        <v>88.36</v>
      </c>
      <c r="H49" s="78">
        <v>0</v>
      </c>
      <c r="I49" s="13">
        <f>G49*H49</f>
        <v>0</v>
      </c>
      <c r="K49" s="34"/>
      <c r="Z49" s="13">
        <f>IF(AQ49="5",BJ49,0)</f>
        <v>0</v>
      </c>
      <c r="AB49" s="13">
        <f>IF(AQ49="1",BH49,0)</f>
        <v>0</v>
      </c>
      <c r="AC49" s="13">
        <f>IF(AQ49="1",BI49,0)</f>
        <v>0</v>
      </c>
      <c r="AD49" s="13">
        <f>IF(AQ49="7",BH49,0)</f>
        <v>0</v>
      </c>
      <c r="AE49" s="13">
        <f>IF(AQ49="7",BI49,0)</f>
        <v>0</v>
      </c>
      <c r="AF49" s="13">
        <f>IF(AQ49="2",BH49,0)</f>
        <v>0</v>
      </c>
      <c r="AG49" s="13">
        <f>IF(AQ49="2",BI49,0)</f>
        <v>0</v>
      </c>
      <c r="AH49" s="13">
        <f>IF(AQ49="0",BJ49,0)</f>
        <v>0</v>
      </c>
      <c r="AI49" s="30" t="s">
        <v>26</v>
      </c>
      <c r="AJ49" s="13">
        <f>IF(AN49=0,I49,0)</f>
        <v>0</v>
      </c>
      <c r="AK49" s="13">
        <f>IF(AN49=12,I49,0)</f>
        <v>0</v>
      </c>
      <c r="AL49" s="13">
        <f>IF(AN49=21,I49,0)</f>
        <v>0</v>
      </c>
      <c r="AN49" s="13">
        <v>21</v>
      </c>
      <c r="AO49" s="13">
        <f>H49*0.468588781</f>
        <v>0</v>
      </c>
      <c r="AP49" s="13">
        <f>H49*(1-0.468588781)</f>
        <v>0</v>
      </c>
      <c r="AQ49" s="79" t="s">
        <v>23</v>
      </c>
      <c r="AV49" s="13">
        <f>AW49+AX49</f>
        <v>0</v>
      </c>
      <c r="AW49" s="13">
        <f>G49*AO49</f>
        <v>0</v>
      </c>
      <c r="AX49" s="13">
        <f>G49*AP49</f>
        <v>0</v>
      </c>
      <c r="AY49" s="79" t="s">
        <v>809</v>
      </c>
      <c r="AZ49" s="79" t="s">
        <v>810</v>
      </c>
      <c r="BA49" s="30" t="s">
        <v>801</v>
      </c>
      <c r="BC49" s="13">
        <f>AW49+AX49</f>
        <v>0</v>
      </c>
      <c r="BD49" s="13">
        <f>H49/(100-BE49)*100</f>
        <v>0</v>
      </c>
      <c r="BE49" s="13">
        <v>0</v>
      </c>
      <c r="BF49" s="13">
        <f>49</f>
        <v>49</v>
      </c>
      <c r="BH49" s="13">
        <f>G49*AO49</f>
        <v>0</v>
      </c>
      <c r="BI49" s="13">
        <f>G49*AP49</f>
        <v>0</v>
      </c>
      <c r="BJ49" s="13">
        <f>G49*H49</f>
        <v>0</v>
      </c>
      <c r="BK49" s="13"/>
      <c r="BL49" s="13">
        <v>60</v>
      </c>
      <c r="BW49" s="13">
        <v>21</v>
      </c>
    </row>
    <row r="50" spans="1:75" x14ac:dyDescent="0.25">
      <c r="A50" s="75" t="s">
        <v>20</v>
      </c>
      <c r="B50" s="29" t="s">
        <v>26</v>
      </c>
      <c r="C50" s="29" t="s">
        <v>154</v>
      </c>
      <c r="D50" s="183" t="s">
        <v>155</v>
      </c>
      <c r="E50" s="112"/>
      <c r="F50" s="76" t="s">
        <v>13</v>
      </c>
      <c r="G50" s="76" t="s">
        <v>13</v>
      </c>
      <c r="H50" s="77" t="s">
        <v>13</v>
      </c>
      <c r="I50" s="61">
        <f>SUM(I51:I56)</f>
        <v>0</v>
      </c>
      <c r="K50" s="34"/>
      <c r="AI50" s="30" t="s">
        <v>26</v>
      </c>
      <c r="AS50" s="61">
        <f>SUM(AJ51:AJ56)</f>
        <v>0</v>
      </c>
      <c r="AT50" s="61">
        <f>SUM(AK51:AK56)</f>
        <v>0</v>
      </c>
      <c r="AU50" s="61">
        <f>SUM(AL51:AL56)</f>
        <v>0</v>
      </c>
    </row>
    <row r="51" spans="1:75" ht="13.5" customHeight="1" x14ac:dyDescent="0.25">
      <c r="A51" s="1" t="s">
        <v>156</v>
      </c>
      <c r="B51" s="2" t="s">
        <v>26</v>
      </c>
      <c r="C51" s="2" t="s">
        <v>157</v>
      </c>
      <c r="D51" s="95" t="s">
        <v>158</v>
      </c>
      <c r="E51" s="88"/>
      <c r="F51" s="2" t="s">
        <v>91</v>
      </c>
      <c r="G51" s="13">
        <v>23.75</v>
      </c>
      <c r="H51" s="78">
        <v>0</v>
      </c>
      <c r="I51" s="13">
        <f>G51*H51</f>
        <v>0</v>
      </c>
      <c r="K51" s="34"/>
      <c r="Z51" s="13">
        <f>IF(AQ51="5",BJ51,0)</f>
        <v>0</v>
      </c>
      <c r="AB51" s="13">
        <f>IF(AQ51="1",BH51,0)</f>
        <v>0</v>
      </c>
      <c r="AC51" s="13">
        <f>IF(AQ51="1",BI51,0)</f>
        <v>0</v>
      </c>
      <c r="AD51" s="13">
        <f>IF(AQ51="7",BH51,0)</f>
        <v>0</v>
      </c>
      <c r="AE51" s="13">
        <f>IF(AQ51="7",BI51,0)</f>
        <v>0</v>
      </c>
      <c r="AF51" s="13">
        <f>IF(AQ51="2",BH51,0)</f>
        <v>0</v>
      </c>
      <c r="AG51" s="13">
        <f>IF(AQ51="2",BI51,0)</f>
        <v>0</v>
      </c>
      <c r="AH51" s="13">
        <f>IF(AQ51="0",BJ51,0)</f>
        <v>0</v>
      </c>
      <c r="AI51" s="30" t="s">
        <v>26</v>
      </c>
      <c r="AJ51" s="13">
        <f>IF(AN51=0,I51,0)</f>
        <v>0</v>
      </c>
      <c r="AK51" s="13">
        <f>IF(AN51=12,I51,0)</f>
        <v>0</v>
      </c>
      <c r="AL51" s="13">
        <f>IF(AN51=21,I51,0)</f>
        <v>0</v>
      </c>
      <c r="AN51" s="13">
        <v>21</v>
      </c>
      <c r="AO51" s="13">
        <f>H51*0.334022214</f>
        <v>0</v>
      </c>
      <c r="AP51" s="13">
        <f>H51*(1-0.334022214)</f>
        <v>0</v>
      </c>
      <c r="AQ51" s="79" t="s">
        <v>23</v>
      </c>
      <c r="AV51" s="13">
        <f>AW51+AX51</f>
        <v>0</v>
      </c>
      <c r="AW51" s="13">
        <f>G51*AO51</f>
        <v>0</v>
      </c>
      <c r="AX51" s="13">
        <f>G51*AP51</f>
        <v>0</v>
      </c>
      <c r="AY51" s="79" t="s">
        <v>811</v>
      </c>
      <c r="AZ51" s="79" t="s">
        <v>810</v>
      </c>
      <c r="BA51" s="30" t="s">
        <v>801</v>
      </c>
      <c r="BC51" s="13">
        <f>AW51+AX51</f>
        <v>0</v>
      </c>
      <c r="BD51" s="13">
        <f>H51/(100-BE51)*100</f>
        <v>0</v>
      </c>
      <c r="BE51" s="13">
        <v>0</v>
      </c>
      <c r="BF51" s="13">
        <f>51</f>
        <v>51</v>
      </c>
      <c r="BH51" s="13">
        <f>G51*AO51</f>
        <v>0</v>
      </c>
      <c r="BI51" s="13">
        <f>G51*AP51</f>
        <v>0</v>
      </c>
      <c r="BJ51" s="13">
        <f>G51*H51</f>
        <v>0</v>
      </c>
      <c r="BK51" s="13"/>
      <c r="BL51" s="13">
        <v>61</v>
      </c>
      <c r="BW51" s="13">
        <v>21</v>
      </c>
    </row>
    <row r="52" spans="1:75" ht="13.5" customHeight="1" x14ac:dyDescent="0.25">
      <c r="A52" s="1" t="s">
        <v>159</v>
      </c>
      <c r="B52" s="2" t="s">
        <v>26</v>
      </c>
      <c r="C52" s="2" t="s">
        <v>160</v>
      </c>
      <c r="D52" s="95" t="s">
        <v>161</v>
      </c>
      <c r="E52" s="88"/>
      <c r="F52" s="2" t="s">
        <v>91</v>
      </c>
      <c r="G52" s="13">
        <v>9.4</v>
      </c>
      <c r="H52" s="78">
        <v>0</v>
      </c>
      <c r="I52" s="13">
        <f>G52*H52</f>
        <v>0</v>
      </c>
      <c r="K52" s="34"/>
      <c r="Z52" s="13">
        <f>IF(AQ52="5",BJ52,0)</f>
        <v>0</v>
      </c>
      <c r="AB52" s="13">
        <f>IF(AQ52="1",BH52,0)</f>
        <v>0</v>
      </c>
      <c r="AC52" s="13">
        <f>IF(AQ52="1",BI52,0)</f>
        <v>0</v>
      </c>
      <c r="AD52" s="13">
        <f>IF(AQ52="7",BH52,0)</f>
        <v>0</v>
      </c>
      <c r="AE52" s="13">
        <f>IF(AQ52="7",BI52,0)</f>
        <v>0</v>
      </c>
      <c r="AF52" s="13">
        <f>IF(AQ52="2",BH52,0)</f>
        <v>0</v>
      </c>
      <c r="AG52" s="13">
        <f>IF(AQ52="2",BI52,0)</f>
        <v>0</v>
      </c>
      <c r="AH52" s="13">
        <f>IF(AQ52="0",BJ52,0)</f>
        <v>0</v>
      </c>
      <c r="AI52" s="30" t="s">
        <v>26</v>
      </c>
      <c r="AJ52" s="13">
        <f>IF(AN52=0,I52,0)</f>
        <v>0</v>
      </c>
      <c r="AK52" s="13">
        <f>IF(AN52=12,I52,0)</f>
        <v>0</v>
      </c>
      <c r="AL52" s="13">
        <f>IF(AN52=21,I52,0)</f>
        <v>0</v>
      </c>
      <c r="AN52" s="13">
        <v>21</v>
      </c>
      <c r="AO52" s="13">
        <f>H52*0.539398693</f>
        <v>0</v>
      </c>
      <c r="AP52" s="13">
        <f>H52*(1-0.539398693)</f>
        <v>0</v>
      </c>
      <c r="AQ52" s="79" t="s">
        <v>23</v>
      </c>
      <c r="AV52" s="13">
        <f>AW52+AX52</f>
        <v>0</v>
      </c>
      <c r="AW52" s="13">
        <f>G52*AO52</f>
        <v>0</v>
      </c>
      <c r="AX52" s="13">
        <f>G52*AP52</f>
        <v>0</v>
      </c>
      <c r="AY52" s="79" t="s">
        <v>811</v>
      </c>
      <c r="AZ52" s="79" t="s">
        <v>810</v>
      </c>
      <c r="BA52" s="30" t="s">
        <v>801</v>
      </c>
      <c r="BC52" s="13">
        <f>AW52+AX52</f>
        <v>0</v>
      </c>
      <c r="BD52" s="13">
        <f>H52/(100-BE52)*100</f>
        <v>0</v>
      </c>
      <c r="BE52" s="13">
        <v>0</v>
      </c>
      <c r="BF52" s="13">
        <f>52</f>
        <v>52</v>
      </c>
      <c r="BH52" s="13">
        <f>G52*AO52</f>
        <v>0</v>
      </c>
      <c r="BI52" s="13">
        <f>G52*AP52</f>
        <v>0</v>
      </c>
      <c r="BJ52" s="13">
        <f>G52*H52</f>
        <v>0</v>
      </c>
      <c r="BK52" s="13"/>
      <c r="BL52" s="13">
        <v>61</v>
      </c>
      <c r="BW52" s="13">
        <v>21</v>
      </c>
    </row>
    <row r="53" spans="1:75" ht="13.5" customHeight="1" x14ac:dyDescent="0.25">
      <c r="A53" s="32"/>
      <c r="C53" s="80" t="s">
        <v>802</v>
      </c>
      <c r="D53" s="113" t="s">
        <v>807</v>
      </c>
      <c r="E53" s="114"/>
      <c r="F53" s="114"/>
      <c r="G53" s="114"/>
      <c r="H53" s="184"/>
      <c r="I53" s="114"/>
      <c r="J53" s="114"/>
      <c r="K53" s="185"/>
    </row>
    <row r="54" spans="1:75" ht="13.5" customHeight="1" x14ac:dyDescent="0.25">
      <c r="A54" s="1" t="s">
        <v>163</v>
      </c>
      <c r="B54" s="2" t="s">
        <v>26</v>
      </c>
      <c r="C54" s="2" t="s">
        <v>164</v>
      </c>
      <c r="D54" s="95" t="s">
        <v>165</v>
      </c>
      <c r="E54" s="88"/>
      <c r="F54" s="2" t="s">
        <v>91</v>
      </c>
      <c r="G54" s="13">
        <v>19.135000000000002</v>
      </c>
      <c r="H54" s="78">
        <v>0</v>
      </c>
      <c r="I54" s="13">
        <f>G54*H54</f>
        <v>0</v>
      </c>
      <c r="K54" s="34"/>
      <c r="Z54" s="13">
        <f>IF(AQ54="5",BJ54,0)</f>
        <v>0</v>
      </c>
      <c r="AB54" s="13">
        <f>IF(AQ54="1",BH54,0)</f>
        <v>0</v>
      </c>
      <c r="AC54" s="13">
        <f>IF(AQ54="1",BI54,0)</f>
        <v>0</v>
      </c>
      <c r="AD54" s="13">
        <f>IF(AQ54="7",BH54,0)</f>
        <v>0</v>
      </c>
      <c r="AE54" s="13">
        <f>IF(AQ54="7",BI54,0)</f>
        <v>0</v>
      </c>
      <c r="AF54" s="13">
        <f>IF(AQ54="2",BH54,0)</f>
        <v>0</v>
      </c>
      <c r="AG54" s="13">
        <f>IF(AQ54="2",BI54,0)</f>
        <v>0</v>
      </c>
      <c r="AH54" s="13">
        <f>IF(AQ54="0",BJ54,0)</f>
        <v>0</v>
      </c>
      <c r="AI54" s="30" t="s">
        <v>26</v>
      </c>
      <c r="AJ54" s="13">
        <f>IF(AN54=0,I54,0)</f>
        <v>0</v>
      </c>
      <c r="AK54" s="13">
        <f>IF(AN54=12,I54,0)</f>
        <v>0</v>
      </c>
      <c r="AL54" s="13">
        <f>IF(AN54=21,I54,0)</f>
        <v>0</v>
      </c>
      <c r="AN54" s="13">
        <v>21</v>
      </c>
      <c r="AO54" s="13">
        <f>H54*0.276886564</f>
        <v>0</v>
      </c>
      <c r="AP54" s="13">
        <f>H54*(1-0.276886564)</f>
        <v>0</v>
      </c>
      <c r="AQ54" s="79" t="s">
        <v>23</v>
      </c>
      <c r="AV54" s="13">
        <f>AW54+AX54</f>
        <v>0</v>
      </c>
      <c r="AW54" s="13">
        <f>G54*AO54</f>
        <v>0</v>
      </c>
      <c r="AX54" s="13">
        <f>G54*AP54</f>
        <v>0</v>
      </c>
      <c r="AY54" s="79" t="s">
        <v>811</v>
      </c>
      <c r="AZ54" s="79" t="s">
        <v>810</v>
      </c>
      <c r="BA54" s="30" t="s">
        <v>801</v>
      </c>
      <c r="BC54" s="13">
        <f>AW54+AX54</f>
        <v>0</v>
      </c>
      <c r="BD54" s="13">
        <f>H54/(100-BE54)*100</f>
        <v>0</v>
      </c>
      <c r="BE54" s="13">
        <v>0</v>
      </c>
      <c r="BF54" s="13">
        <f>54</f>
        <v>54</v>
      </c>
      <c r="BH54" s="13">
        <f>G54*AO54</f>
        <v>0</v>
      </c>
      <c r="BI54" s="13">
        <f>G54*AP54</f>
        <v>0</v>
      </c>
      <c r="BJ54" s="13">
        <f>G54*H54</f>
        <v>0</v>
      </c>
      <c r="BK54" s="13"/>
      <c r="BL54" s="13">
        <v>61</v>
      </c>
      <c r="BW54" s="13">
        <v>21</v>
      </c>
    </row>
    <row r="55" spans="1:75" ht="13.5" customHeight="1" x14ac:dyDescent="0.25">
      <c r="A55" s="32"/>
      <c r="C55" s="80" t="s">
        <v>802</v>
      </c>
      <c r="D55" s="113" t="s">
        <v>812</v>
      </c>
      <c r="E55" s="114"/>
      <c r="F55" s="114"/>
      <c r="G55" s="114"/>
      <c r="H55" s="184"/>
      <c r="I55" s="114"/>
      <c r="J55" s="114"/>
      <c r="K55" s="185"/>
    </row>
    <row r="56" spans="1:75" ht="13.5" customHeight="1" x14ac:dyDescent="0.25">
      <c r="A56" s="1" t="s">
        <v>167</v>
      </c>
      <c r="B56" s="2" t="s">
        <v>26</v>
      </c>
      <c r="C56" s="2" t="s">
        <v>168</v>
      </c>
      <c r="D56" s="95" t="s">
        <v>169</v>
      </c>
      <c r="E56" s="88"/>
      <c r="F56" s="2" t="s">
        <v>91</v>
      </c>
      <c r="G56" s="13">
        <v>119.0031</v>
      </c>
      <c r="H56" s="78">
        <v>0</v>
      </c>
      <c r="I56" s="13">
        <f>G56*H56</f>
        <v>0</v>
      </c>
      <c r="K56" s="34"/>
      <c r="Z56" s="13">
        <f>IF(AQ56="5",BJ56,0)</f>
        <v>0</v>
      </c>
      <c r="AB56" s="13">
        <f>IF(AQ56="1",BH56,0)</f>
        <v>0</v>
      </c>
      <c r="AC56" s="13">
        <f>IF(AQ56="1",BI56,0)</f>
        <v>0</v>
      </c>
      <c r="AD56" s="13">
        <f>IF(AQ56="7",BH56,0)</f>
        <v>0</v>
      </c>
      <c r="AE56" s="13">
        <f>IF(AQ56="7",BI56,0)</f>
        <v>0</v>
      </c>
      <c r="AF56" s="13">
        <f>IF(AQ56="2",BH56,0)</f>
        <v>0</v>
      </c>
      <c r="AG56" s="13">
        <f>IF(AQ56="2",BI56,0)</f>
        <v>0</v>
      </c>
      <c r="AH56" s="13">
        <f>IF(AQ56="0",BJ56,0)</f>
        <v>0</v>
      </c>
      <c r="AI56" s="30" t="s">
        <v>26</v>
      </c>
      <c r="AJ56" s="13">
        <f>IF(AN56=0,I56,0)</f>
        <v>0</v>
      </c>
      <c r="AK56" s="13">
        <f>IF(AN56=12,I56,0)</f>
        <v>0</v>
      </c>
      <c r="AL56" s="13">
        <f>IF(AN56=21,I56,0)</f>
        <v>0</v>
      </c>
      <c r="AN56" s="13">
        <v>21</v>
      </c>
      <c r="AO56" s="13">
        <f>H56*0.167601178</f>
        <v>0</v>
      </c>
      <c r="AP56" s="13">
        <f>H56*(1-0.167601178)</f>
        <v>0</v>
      </c>
      <c r="AQ56" s="79" t="s">
        <v>23</v>
      </c>
      <c r="AV56" s="13">
        <f>AW56+AX56</f>
        <v>0</v>
      </c>
      <c r="AW56" s="13">
        <f>G56*AO56</f>
        <v>0</v>
      </c>
      <c r="AX56" s="13">
        <f>G56*AP56</f>
        <v>0</v>
      </c>
      <c r="AY56" s="79" t="s">
        <v>811</v>
      </c>
      <c r="AZ56" s="79" t="s">
        <v>810</v>
      </c>
      <c r="BA56" s="30" t="s">
        <v>801</v>
      </c>
      <c r="BC56" s="13">
        <f>AW56+AX56</f>
        <v>0</v>
      </c>
      <c r="BD56" s="13">
        <f>H56/(100-BE56)*100</f>
        <v>0</v>
      </c>
      <c r="BE56" s="13">
        <v>0</v>
      </c>
      <c r="BF56" s="13">
        <f>56</f>
        <v>56</v>
      </c>
      <c r="BH56" s="13">
        <f>G56*AO56</f>
        <v>0</v>
      </c>
      <c r="BI56" s="13">
        <f>G56*AP56</f>
        <v>0</v>
      </c>
      <c r="BJ56" s="13">
        <f>G56*H56</f>
        <v>0</v>
      </c>
      <c r="BK56" s="13"/>
      <c r="BL56" s="13">
        <v>61</v>
      </c>
      <c r="BW56" s="13">
        <v>21</v>
      </c>
    </row>
    <row r="57" spans="1:75" x14ac:dyDescent="0.25">
      <c r="A57" s="75" t="s">
        <v>20</v>
      </c>
      <c r="B57" s="29" t="s">
        <v>26</v>
      </c>
      <c r="C57" s="29" t="s">
        <v>170</v>
      </c>
      <c r="D57" s="183" t="s">
        <v>171</v>
      </c>
      <c r="E57" s="112"/>
      <c r="F57" s="76" t="s">
        <v>13</v>
      </c>
      <c r="G57" s="76" t="s">
        <v>13</v>
      </c>
      <c r="H57" s="77" t="s">
        <v>13</v>
      </c>
      <c r="I57" s="61">
        <f>SUM(I58:I58)</f>
        <v>0</v>
      </c>
      <c r="K57" s="34"/>
      <c r="AI57" s="30" t="s">
        <v>26</v>
      </c>
      <c r="AS57" s="61">
        <f>SUM(AJ58:AJ58)</f>
        <v>0</v>
      </c>
      <c r="AT57" s="61">
        <f>SUM(AK58:AK58)</f>
        <v>0</v>
      </c>
      <c r="AU57" s="61">
        <f>SUM(AL58:AL58)</f>
        <v>0</v>
      </c>
    </row>
    <row r="58" spans="1:75" ht="13.5" customHeight="1" x14ac:dyDescent="0.25">
      <c r="A58" s="1" t="s">
        <v>172</v>
      </c>
      <c r="B58" s="2" t="s">
        <v>26</v>
      </c>
      <c r="C58" s="2" t="s">
        <v>173</v>
      </c>
      <c r="D58" s="95" t="s">
        <v>174</v>
      </c>
      <c r="E58" s="88"/>
      <c r="F58" s="2" t="s">
        <v>91</v>
      </c>
      <c r="G58" s="13">
        <v>119.0031</v>
      </c>
      <c r="H58" s="78">
        <v>0</v>
      </c>
      <c r="I58" s="13">
        <f>G58*H58</f>
        <v>0</v>
      </c>
      <c r="K58" s="34"/>
      <c r="Z58" s="13">
        <f>IF(AQ58="5",BJ58,0)</f>
        <v>0</v>
      </c>
      <c r="AB58" s="13">
        <f>IF(AQ58="1",BH58,0)</f>
        <v>0</v>
      </c>
      <c r="AC58" s="13">
        <f>IF(AQ58="1",BI58,0)</f>
        <v>0</v>
      </c>
      <c r="AD58" s="13">
        <f>IF(AQ58="7",BH58,0)</f>
        <v>0</v>
      </c>
      <c r="AE58" s="13">
        <f>IF(AQ58="7",BI58,0)</f>
        <v>0</v>
      </c>
      <c r="AF58" s="13">
        <f>IF(AQ58="2",BH58,0)</f>
        <v>0</v>
      </c>
      <c r="AG58" s="13">
        <f>IF(AQ58="2",BI58,0)</f>
        <v>0</v>
      </c>
      <c r="AH58" s="13">
        <f>IF(AQ58="0",BJ58,0)</f>
        <v>0</v>
      </c>
      <c r="AI58" s="30" t="s">
        <v>26</v>
      </c>
      <c r="AJ58" s="13">
        <f>IF(AN58=0,I58,0)</f>
        <v>0</v>
      </c>
      <c r="AK58" s="13">
        <f>IF(AN58=12,I58,0)</f>
        <v>0</v>
      </c>
      <c r="AL58" s="13">
        <f>IF(AN58=21,I58,0)</f>
        <v>0</v>
      </c>
      <c r="AN58" s="13">
        <v>21</v>
      </c>
      <c r="AO58" s="13">
        <f>H58*0.060821388</f>
        <v>0</v>
      </c>
      <c r="AP58" s="13">
        <f>H58*(1-0.060821388)</f>
        <v>0</v>
      </c>
      <c r="AQ58" s="79" t="s">
        <v>23</v>
      </c>
      <c r="AV58" s="13">
        <f>AW58+AX58</f>
        <v>0</v>
      </c>
      <c r="AW58" s="13">
        <f>G58*AO58</f>
        <v>0</v>
      </c>
      <c r="AX58" s="13">
        <f>G58*AP58</f>
        <v>0</v>
      </c>
      <c r="AY58" s="79" t="s">
        <v>813</v>
      </c>
      <c r="AZ58" s="79" t="s">
        <v>810</v>
      </c>
      <c r="BA58" s="30" t="s">
        <v>801</v>
      </c>
      <c r="BC58" s="13">
        <f>AW58+AX58</f>
        <v>0</v>
      </c>
      <c r="BD58" s="13">
        <f>H58/(100-BE58)*100</f>
        <v>0</v>
      </c>
      <c r="BE58" s="13">
        <v>0</v>
      </c>
      <c r="BF58" s="13">
        <f>58</f>
        <v>58</v>
      </c>
      <c r="BH58" s="13">
        <f>G58*AO58</f>
        <v>0</v>
      </c>
      <c r="BI58" s="13">
        <f>G58*AP58</f>
        <v>0</v>
      </c>
      <c r="BJ58" s="13">
        <f>G58*H58</f>
        <v>0</v>
      </c>
      <c r="BK58" s="13"/>
      <c r="BL58" s="13">
        <v>62</v>
      </c>
      <c r="BW58" s="13">
        <v>21</v>
      </c>
    </row>
    <row r="59" spans="1:75" ht="13.5" customHeight="1" x14ac:dyDescent="0.25">
      <c r="A59" s="32"/>
      <c r="C59" s="80" t="s">
        <v>49</v>
      </c>
      <c r="D59" s="113" t="s">
        <v>175</v>
      </c>
      <c r="E59" s="114"/>
      <c r="F59" s="114"/>
      <c r="G59" s="114"/>
      <c r="H59" s="184"/>
      <c r="I59" s="114"/>
      <c r="J59" s="114"/>
      <c r="K59" s="185"/>
    </row>
    <row r="60" spans="1:75" x14ac:dyDescent="0.25">
      <c r="A60" s="75" t="s">
        <v>20</v>
      </c>
      <c r="B60" s="29" t="s">
        <v>26</v>
      </c>
      <c r="C60" s="29" t="s">
        <v>176</v>
      </c>
      <c r="D60" s="183" t="s">
        <v>177</v>
      </c>
      <c r="E60" s="112"/>
      <c r="F60" s="76" t="s">
        <v>13</v>
      </c>
      <c r="G60" s="76" t="s">
        <v>13</v>
      </c>
      <c r="H60" s="77" t="s">
        <v>13</v>
      </c>
      <c r="I60" s="61">
        <f>SUM(I61:I68)</f>
        <v>0</v>
      </c>
      <c r="K60" s="34"/>
      <c r="AI60" s="30" t="s">
        <v>26</v>
      </c>
      <c r="AS60" s="61">
        <f>SUM(AJ61:AJ68)</f>
        <v>0</v>
      </c>
      <c r="AT60" s="61">
        <f>SUM(AK61:AK68)</f>
        <v>0</v>
      </c>
      <c r="AU60" s="61">
        <f>SUM(AL61:AL68)</f>
        <v>0</v>
      </c>
    </row>
    <row r="61" spans="1:75" ht="13.5" customHeight="1" x14ac:dyDescent="0.25">
      <c r="A61" s="1" t="s">
        <v>93</v>
      </c>
      <c r="B61" s="2" t="s">
        <v>26</v>
      </c>
      <c r="C61" s="2" t="s">
        <v>178</v>
      </c>
      <c r="D61" s="95" t="s">
        <v>179</v>
      </c>
      <c r="E61" s="88"/>
      <c r="F61" s="2" t="s">
        <v>102</v>
      </c>
      <c r="G61" s="13">
        <v>2.3342999999999998</v>
      </c>
      <c r="H61" s="78">
        <v>0</v>
      </c>
      <c r="I61" s="13">
        <f>G61*H61</f>
        <v>0</v>
      </c>
      <c r="K61" s="34"/>
      <c r="Z61" s="13">
        <f>IF(AQ61="5",BJ61,0)</f>
        <v>0</v>
      </c>
      <c r="AB61" s="13">
        <f>IF(AQ61="1",BH61,0)</f>
        <v>0</v>
      </c>
      <c r="AC61" s="13">
        <f>IF(AQ61="1",BI61,0)</f>
        <v>0</v>
      </c>
      <c r="AD61" s="13">
        <f>IF(AQ61="7",BH61,0)</f>
        <v>0</v>
      </c>
      <c r="AE61" s="13">
        <f>IF(AQ61="7",BI61,0)</f>
        <v>0</v>
      </c>
      <c r="AF61" s="13">
        <f>IF(AQ61="2",BH61,0)</f>
        <v>0</v>
      </c>
      <c r="AG61" s="13">
        <f>IF(AQ61="2",BI61,0)</f>
        <v>0</v>
      </c>
      <c r="AH61" s="13">
        <f>IF(AQ61="0",BJ61,0)</f>
        <v>0</v>
      </c>
      <c r="AI61" s="30" t="s">
        <v>26</v>
      </c>
      <c r="AJ61" s="13">
        <f>IF(AN61=0,I61,0)</f>
        <v>0</v>
      </c>
      <c r="AK61" s="13">
        <f>IF(AN61=12,I61,0)</f>
        <v>0</v>
      </c>
      <c r="AL61" s="13">
        <f>IF(AN61=21,I61,0)</f>
        <v>0</v>
      </c>
      <c r="AN61" s="13">
        <v>21</v>
      </c>
      <c r="AO61" s="13">
        <f>H61*0.63408123</f>
        <v>0</v>
      </c>
      <c r="AP61" s="13">
        <f>H61*(1-0.63408123)</f>
        <v>0</v>
      </c>
      <c r="AQ61" s="79" t="s">
        <v>23</v>
      </c>
      <c r="AV61" s="13">
        <f>AW61+AX61</f>
        <v>0</v>
      </c>
      <c r="AW61" s="13">
        <f>G61*AO61</f>
        <v>0</v>
      </c>
      <c r="AX61" s="13">
        <f>G61*AP61</f>
        <v>0</v>
      </c>
      <c r="AY61" s="79" t="s">
        <v>814</v>
      </c>
      <c r="AZ61" s="79" t="s">
        <v>810</v>
      </c>
      <c r="BA61" s="30" t="s">
        <v>801</v>
      </c>
      <c r="BC61" s="13">
        <f>AW61+AX61</f>
        <v>0</v>
      </c>
      <c r="BD61" s="13">
        <f>H61/(100-BE61)*100</f>
        <v>0</v>
      </c>
      <c r="BE61" s="13">
        <v>0</v>
      </c>
      <c r="BF61" s="13">
        <f>61</f>
        <v>61</v>
      </c>
      <c r="BH61" s="13">
        <f>G61*AO61</f>
        <v>0</v>
      </c>
      <c r="BI61" s="13">
        <f>G61*AP61</f>
        <v>0</v>
      </c>
      <c r="BJ61" s="13">
        <f>G61*H61</f>
        <v>0</v>
      </c>
      <c r="BK61" s="13"/>
      <c r="BL61" s="13">
        <v>63</v>
      </c>
      <c r="BW61" s="13">
        <v>21</v>
      </c>
    </row>
    <row r="62" spans="1:75" ht="13.5" customHeight="1" x14ac:dyDescent="0.25">
      <c r="A62" s="1" t="s">
        <v>181</v>
      </c>
      <c r="B62" s="2" t="s">
        <v>26</v>
      </c>
      <c r="C62" s="2" t="s">
        <v>182</v>
      </c>
      <c r="D62" s="95" t="s">
        <v>183</v>
      </c>
      <c r="E62" s="88"/>
      <c r="F62" s="2" t="s">
        <v>91</v>
      </c>
      <c r="G62" s="13">
        <v>23.343</v>
      </c>
      <c r="H62" s="78">
        <v>0</v>
      </c>
      <c r="I62" s="13">
        <f>G62*H62</f>
        <v>0</v>
      </c>
      <c r="K62" s="34"/>
      <c r="Z62" s="13">
        <f>IF(AQ62="5",BJ62,0)</f>
        <v>0</v>
      </c>
      <c r="AB62" s="13">
        <f>IF(AQ62="1",BH62,0)</f>
        <v>0</v>
      </c>
      <c r="AC62" s="13">
        <f>IF(AQ62="1",BI62,0)</f>
        <v>0</v>
      </c>
      <c r="AD62" s="13">
        <f>IF(AQ62="7",BH62,0)</f>
        <v>0</v>
      </c>
      <c r="AE62" s="13">
        <f>IF(AQ62="7",BI62,0)</f>
        <v>0</v>
      </c>
      <c r="AF62" s="13">
        <f>IF(AQ62="2",BH62,0)</f>
        <v>0</v>
      </c>
      <c r="AG62" s="13">
        <f>IF(AQ62="2",BI62,0)</f>
        <v>0</v>
      </c>
      <c r="AH62" s="13">
        <f>IF(AQ62="0",BJ62,0)</f>
        <v>0</v>
      </c>
      <c r="AI62" s="30" t="s">
        <v>26</v>
      </c>
      <c r="AJ62" s="13">
        <f>IF(AN62=0,I62,0)</f>
        <v>0</v>
      </c>
      <c r="AK62" s="13">
        <f>IF(AN62=12,I62,0)</f>
        <v>0</v>
      </c>
      <c r="AL62" s="13">
        <f>IF(AN62=21,I62,0)</f>
        <v>0</v>
      </c>
      <c r="AN62" s="13">
        <v>21</v>
      </c>
      <c r="AO62" s="13">
        <f>H62*0.621652331</f>
        <v>0</v>
      </c>
      <c r="AP62" s="13">
        <f>H62*(1-0.621652331)</f>
        <v>0</v>
      </c>
      <c r="AQ62" s="79" t="s">
        <v>23</v>
      </c>
      <c r="AV62" s="13">
        <f>AW62+AX62</f>
        <v>0</v>
      </c>
      <c r="AW62" s="13">
        <f>G62*AO62</f>
        <v>0</v>
      </c>
      <c r="AX62" s="13">
        <f>G62*AP62</f>
        <v>0</v>
      </c>
      <c r="AY62" s="79" t="s">
        <v>814</v>
      </c>
      <c r="AZ62" s="79" t="s">
        <v>810</v>
      </c>
      <c r="BA62" s="30" t="s">
        <v>801</v>
      </c>
      <c r="BC62" s="13">
        <f>AW62+AX62</f>
        <v>0</v>
      </c>
      <c r="BD62" s="13">
        <f>H62/(100-BE62)*100</f>
        <v>0</v>
      </c>
      <c r="BE62" s="13">
        <v>0</v>
      </c>
      <c r="BF62" s="13">
        <f>62</f>
        <v>62</v>
      </c>
      <c r="BH62" s="13">
        <f>G62*AO62</f>
        <v>0</v>
      </c>
      <c r="BI62" s="13">
        <f>G62*AP62</f>
        <v>0</v>
      </c>
      <c r="BJ62" s="13">
        <f>G62*H62</f>
        <v>0</v>
      </c>
      <c r="BK62" s="13"/>
      <c r="BL62" s="13">
        <v>63</v>
      </c>
      <c r="BW62" s="13">
        <v>21</v>
      </c>
    </row>
    <row r="63" spans="1:75" ht="13.5" customHeight="1" x14ac:dyDescent="0.25">
      <c r="A63" s="32"/>
      <c r="C63" s="80" t="s">
        <v>802</v>
      </c>
      <c r="D63" s="113" t="s">
        <v>815</v>
      </c>
      <c r="E63" s="114"/>
      <c r="F63" s="114"/>
      <c r="G63" s="114"/>
      <c r="H63" s="184"/>
      <c r="I63" s="114"/>
      <c r="J63" s="114"/>
      <c r="K63" s="185"/>
    </row>
    <row r="64" spans="1:75" ht="13.5" customHeight="1" x14ac:dyDescent="0.25">
      <c r="A64" s="1" t="s">
        <v>185</v>
      </c>
      <c r="B64" s="2" t="s">
        <v>26</v>
      </c>
      <c r="C64" s="2" t="s">
        <v>186</v>
      </c>
      <c r="D64" s="95" t="s">
        <v>187</v>
      </c>
      <c r="E64" s="88"/>
      <c r="F64" s="2" t="s">
        <v>91</v>
      </c>
      <c r="G64" s="13">
        <v>23.343</v>
      </c>
      <c r="H64" s="78">
        <v>0</v>
      </c>
      <c r="I64" s="13">
        <f>G64*H64</f>
        <v>0</v>
      </c>
      <c r="K64" s="34"/>
      <c r="Z64" s="13">
        <f>IF(AQ64="5",BJ64,0)</f>
        <v>0</v>
      </c>
      <c r="AB64" s="13">
        <f>IF(AQ64="1",BH64,0)</f>
        <v>0</v>
      </c>
      <c r="AC64" s="13">
        <f>IF(AQ64="1",BI64,0)</f>
        <v>0</v>
      </c>
      <c r="AD64" s="13">
        <f>IF(AQ64="7",BH64,0)</f>
        <v>0</v>
      </c>
      <c r="AE64" s="13">
        <f>IF(AQ64="7",BI64,0)</f>
        <v>0</v>
      </c>
      <c r="AF64" s="13">
        <f>IF(AQ64="2",BH64,0)</f>
        <v>0</v>
      </c>
      <c r="AG64" s="13">
        <f>IF(AQ64="2",BI64,0)</f>
        <v>0</v>
      </c>
      <c r="AH64" s="13">
        <f>IF(AQ64="0",BJ64,0)</f>
        <v>0</v>
      </c>
      <c r="AI64" s="30" t="s">
        <v>26</v>
      </c>
      <c r="AJ64" s="13">
        <f>IF(AN64=0,I64,0)</f>
        <v>0</v>
      </c>
      <c r="AK64" s="13">
        <f>IF(AN64=12,I64,0)</f>
        <v>0</v>
      </c>
      <c r="AL64" s="13">
        <f>IF(AN64=21,I64,0)</f>
        <v>0</v>
      </c>
      <c r="AN64" s="13">
        <v>21</v>
      </c>
      <c r="AO64" s="13">
        <f>H64*0.644947701</f>
        <v>0</v>
      </c>
      <c r="AP64" s="13">
        <f>H64*(1-0.644947701)</f>
        <v>0</v>
      </c>
      <c r="AQ64" s="79" t="s">
        <v>23</v>
      </c>
      <c r="AV64" s="13">
        <f>AW64+AX64</f>
        <v>0</v>
      </c>
      <c r="AW64" s="13">
        <f>G64*AO64</f>
        <v>0</v>
      </c>
      <c r="AX64" s="13">
        <f>G64*AP64</f>
        <v>0</v>
      </c>
      <c r="AY64" s="79" t="s">
        <v>814</v>
      </c>
      <c r="AZ64" s="79" t="s">
        <v>810</v>
      </c>
      <c r="BA64" s="30" t="s">
        <v>801</v>
      </c>
      <c r="BC64" s="13">
        <f>AW64+AX64</f>
        <v>0</v>
      </c>
      <c r="BD64" s="13">
        <f>H64/(100-BE64)*100</f>
        <v>0</v>
      </c>
      <c r="BE64" s="13">
        <v>0</v>
      </c>
      <c r="BF64" s="13">
        <f>64</f>
        <v>64</v>
      </c>
      <c r="BH64" s="13">
        <f>G64*AO64</f>
        <v>0</v>
      </c>
      <c r="BI64" s="13">
        <f>G64*AP64</f>
        <v>0</v>
      </c>
      <c r="BJ64" s="13">
        <f>G64*H64</f>
        <v>0</v>
      </c>
      <c r="BK64" s="13"/>
      <c r="BL64" s="13">
        <v>63</v>
      </c>
      <c r="BW64" s="13">
        <v>21</v>
      </c>
    </row>
    <row r="65" spans="1:75" ht="13.5" customHeight="1" x14ac:dyDescent="0.25">
      <c r="A65" s="1" t="s">
        <v>108</v>
      </c>
      <c r="B65" s="2" t="s">
        <v>26</v>
      </c>
      <c r="C65" s="2" t="s">
        <v>188</v>
      </c>
      <c r="D65" s="95" t="s">
        <v>189</v>
      </c>
      <c r="E65" s="88"/>
      <c r="F65" s="2" t="s">
        <v>102</v>
      </c>
      <c r="G65" s="13">
        <v>2.7122999999999999</v>
      </c>
      <c r="H65" s="78">
        <v>0</v>
      </c>
      <c r="I65" s="13">
        <f>G65*H65</f>
        <v>0</v>
      </c>
      <c r="K65" s="34"/>
      <c r="Z65" s="13">
        <f>IF(AQ65="5",BJ65,0)</f>
        <v>0</v>
      </c>
      <c r="AB65" s="13">
        <f>IF(AQ65="1",BH65,0)</f>
        <v>0</v>
      </c>
      <c r="AC65" s="13">
        <f>IF(AQ65="1",BI65,0)</f>
        <v>0</v>
      </c>
      <c r="AD65" s="13">
        <f>IF(AQ65="7",BH65,0)</f>
        <v>0</v>
      </c>
      <c r="AE65" s="13">
        <f>IF(AQ65="7",BI65,0)</f>
        <v>0</v>
      </c>
      <c r="AF65" s="13">
        <f>IF(AQ65="2",BH65,0)</f>
        <v>0</v>
      </c>
      <c r="AG65" s="13">
        <f>IF(AQ65="2",BI65,0)</f>
        <v>0</v>
      </c>
      <c r="AH65" s="13">
        <f>IF(AQ65="0",BJ65,0)</f>
        <v>0</v>
      </c>
      <c r="AI65" s="30" t="s">
        <v>26</v>
      </c>
      <c r="AJ65" s="13">
        <f>IF(AN65=0,I65,0)</f>
        <v>0</v>
      </c>
      <c r="AK65" s="13">
        <f>IF(AN65=12,I65,0)</f>
        <v>0</v>
      </c>
      <c r="AL65" s="13">
        <f>IF(AN65=21,I65,0)</f>
        <v>0</v>
      </c>
      <c r="AN65" s="13">
        <v>21</v>
      </c>
      <c r="AO65" s="13">
        <f>H65*0</f>
        <v>0</v>
      </c>
      <c r="AP65" s="13">
        <f>H65*(1-0)</f>
        <v>0</v>
      </c>
      <c r="AQ65" s="79" t="s">
        <v>23</v>
      </c>
      <c r="AV65" s="13">
        <f>AW65+AX65</f>
        <v>0</v>
      </c>
      <c r="AW65" s="13">
        <f>G65*AO65</f>
        <v>0</v>
      </c>
      <c r="AX65" s="13">
        <f>G65*AP65</f>
        <v>0</v>
      </c>
      <c r="AY65" s="79" t="s">
        <v>814</v>
      </c>
      <c r="AZ65" s="79" t="s">
        <v>810</v>
      </c>
      <c r="BA65" s="30" t="s">
        <v>801</v>
      </c>
      <c r="BC65" s="13">
        <f>AW65+AX65</f>
        <v>0</v>
      </c>
      <c r="BD65" s="13">
        <f>H65/(100-BE65)*100</f>
        <v>0</v>
      </c>
      <c r="BE65" s="13">
        <v>0</v>
      </c>
      <c r="BF65" s="13">
        <f>65</f>
        <v>65</v>
      </c>
      <c r="BH65" s="13">
        <f>G65*AO65</f>
        <v>0</v>
      </c>
      <c r="BI65" s="13">
        <f>G65*AP65</f>
        <v>0</v>
      </c>
      <c r="BJ65" s="13">
        <f>G65*H65</f>
        <v>0</v>
      </c>
      <c r="BK65" s="13"/>
      <c r="BL65" s="13">
        <v>63</v>
      </c>
      <c r="BW65" s="13">
        <v>21</v>
      </c>
    </row>
    <row r="66" spans="1:75" ht="13.5" customHeight="1" x14ac:dyDescent="0.25">
      <c r="A66" s="1" t="s">
        <v>191</v>
      </c>
      <c r="B66" s="2" t="s">
        <v>26</v>
      </c>
      <c r="C66" s="2" t="s">
        <v>192</v>
      </c>
      <c r="D66" s="95" t="s">
        <v>193</v>
      </c>
      <c r="E66" s="88"/>
      <c r="F66" s="2" t="s">
        <v>102</v>
      </c>
      <c r="G66" s="13">
        <v>0.378</v>
      </c>
      <c r="H66" s="78">
        <v>0</v>
      </c>
      <c r="I66" s="13">
        <f>G66*H66</f>
        <v>0</v>
      </c>
      <c r="K66" s="34"/>
      <c r="Z66" s="13">
        <f>IF(AQ66="5",BJ66,0)</f>
        <v>0</v>
      </c>
      <c r="AB66" s="13">
        <f>IF(AQ66="1",BH66,0)</f>
        <v>0</v>
      </c>
      <c r="AC66" s="13">
        <f>IF(AQ66="1",BI66,0)</f>
        <v>0</v>
      </c>
      <c r="AD66" s="13">
        <f>IF(AQ66="7",BH66,0)</f>
        <v>0</v>
      </c>
      <c r="AE66" s="13">
        <f>IF(AQ66="7",BI66,0)</f>
        <v>0</v>
      </c>
      <c r="AF66" s="13">
        <f>IF(AQ66="2",BH66,0)</f>
        <v>0</v>
      </c>
      <c r="AG66" s="13">
        <f>IF(AQ66="2",BI66,0)</f>
        <v>0</v>
      </c>
      <c r="AH66" s="13">
        <f>IF(AQ66="0",BJ66,0)</f>
        <v>0</v>
      </c>
      <c r="AI66" s="30" t="s">
        <v>26</v>
      </c>
      <c r="AJ66" s="13">
        <f>IF(AN66=0,I66,0)</f>
        <v>0</v>
      </c>
      <c r="AK66" s="13">
        <f>IF(AN66=12,I66,0)</f>
        <v>0</v>
      </c>
      <c r="AL66" s="13">
        <f>IF(AN66=21,I66,0)</f>
        <v>0</v>
      </c>
      <c r="AN66" s="13">
        <v>21</v>
      </c>
      <c r="AO66" s="13">
        <f>H66*0.516023784</f>
        <v>0</v>
      </c>
      <c r="AP66" s="13">
        <f>H66*(1-0.516023784)</f>
        <v>0</v>
      </c>
      <c r="AQ66" s="79" t="s">
        <v>23</v>
      </c>
      <c r="AV66" s="13">
        <f>AW66+AX66</f>
        <v>0</v>
      </c>
      <c r="AW66" s="13">
        <f>G66*AO66</f>
        <v>0</v>
      </c>
      <c r="AX66" s="13">
        <f>G66*AP66</f>
        <v>0</v>
      </c>
      <c r="AY66" s="79" t="s">
        <v>814</v>
      </c>
      <c r="AZ66" s="79" t="s">
        <v>810</v>
      </c>
      <c r="BA66" s="30" t="s">
        <v>801</v>
      </c>
      <c r="BC66" s="13">
        <f>AW66+AX66</f>
        <v>0</v>
      </c>
      <c r="BD66" s="13">
        <f>H66/(100-BE66)*100</f>
        <v>0</v>
      </c>
      <c r="BE66" s="13">
        <v>0</v>
      </c>
      <c r="BF66" s="13">
        <f>66</f>
        <v>66</v>
      </c>
      <c r="BH66" s="13">
        <f>G66*AO66</f>
        <v>0</v>
      </c>
      <c r="BI66" s="13">
        <f>G66*AP66</f>
        <v>0</v>
      </c>
      <c r="BJ66" s="13">
        <f>G66*H66</f>
        <v>0</v>
      </c>
      <c r="BK66" s="13"/>
      <c r="BL66" s="13">
        <v>63</v>
      </c>
      <c r="BW66" s="13">
        <v>21</v>
      </c>
    </row>
    <row r="67" spans="1:75" ht="13.5" customHeight="1" x14ac:dyDescent="0.25">
      <c r="A67" s="1" t="s">
        <v>195</v>
      </c>
      <c r="B67" s="2" t="s">
        <v>26</v>
      </c>
      <c r="C67" s="2" t="s">
        <v>196</v>
      </c>
      <c r="D67" s="95" t="s">
        <v>197</v>
      </c>
      <c r="E67" s="88"/>
      <c r="F67" s="2" t="s">
        <v>102</v>
      </c>
      <c r="G67" s="13">
        <v>0.19700000000000001</v>
      </c>
      <c r="H67" s="78">
        <v>0</v>
      </c>
      <c r="I67" s="13">
        <f>G67*H67</f>
        <v>0</v>
      </c>
      <c r="K67" s="34"/>
      <c r="Z67" s="13">
        <f>IF(AQ67="5",BJ67,0)</f>
        <v>0</v>
      </c>
      <c r="AB67" s="13">
        <f>IF(AQ67="1",BH67,0)</f>
        <v>0</v>
      </c>
      <c r="AC67" s="13">
        <f>IF(AQ67="1",BI67,0)</f>
        <v>0</v>
      </c>
      <c r="AD67" s="13">
        <f>IF(AQ67="7",BH67,0)</f>
        <v>0</v>
      </c>
      <c r="AE67" s="13">
        <f>IF(AQ67="7",BI67,0)</f>
        <v>0</v>
      </c>
      <c r="AF67" s="13">
        <f>IF(AQ67="2",BH67,0)</f>
        <v>0</v>
      </c>
      <c r="AG67" s="13">
        <f>IF(AQ67="2",BI67,0)</f>
        <v>0</v>
      </c>
      <c r="AH67" s="13">
        <f>IF(AQ67="0",BJ67,0)</f>
        <v>0</v>
      </c>
      <c r="AI67" s="30" t="s">
        <v>26</v>
      </c>
      <c r="AJ67" s="13">
        <f>IF(AN67=0,I67,0)</f>
        <v>0</v>
      </c>
      <c r="AK67" s="13">
        <f>IF(AN67=12,I67,0)</f>
        <v>0</v>
      </c>
      <c r="AL67" s="13">
        <f>IF(AN67=21,I67,0)</f>
        <v>0</v>
      </c>
      <c r="AN67" s="13">
        <v>21</v>
      </c>
      <c r="AO67" s="13">
        <f>H67*0.549581804</f>
        <v>0</v>
      </c>
      <c r="AP67" s="13">
        <f>H67*(1-0.549581804)</f>
        <v>0</v>
      </c>
      <c r="AQ67" s="79" t="s">
        <v>23</v>
      </c>
      <c r="AV67" s="13">
        <f>AW67+AX67</f>
        <v>0</v>
      </c>
      <c r="AW67" s="13">
        <f>G67*AO67</f>
        <v>0</v>
      </c>
      <c r="AX67" s="13">
        <f>G67*AP67</f>
        <v>0</v>
      </c>
      <c r="AY67" s="79" t="s">
        <v>814</v>
      </c>
      <c r="AZ67" s="79" t="s">
        <v>810</v>
      </c>
      <c r="BA67" s="30" t="s">
        <v>801</v>
      </c>
      <c r="BC67" s="13">
        <f>AW67+AX67</f>
        <v>0</v>
      </c>
      <c r="BD67" s="13">
        <f>H67/(100-BE67)*100</f>
        <v>0</v>
      </c>
      <c r="BE67" s="13">
        <v>0</v>
      </c>
      <c r="BF67" s="13">
        <f>67</f>
        <v>67</v>
      </c>
      <c r="BH67" s="13">
        <f>G67*AO67</f>
        <v>0</v>
      </c>
      <c r="BI67" s="13">
        <f>G67*AP67</f>
        <v>0</v>
      </c>
      <c r="BJ67" s="13">
        <f>G67*H67</f>
        <v>0</v>
      </c>
      <c r="BK67" s="13"/>
      <c r="BL67" s="13">
        <v>63</v>
      </c>
      <c r="BW67" s="13">
        <v>21</v>
      </c>
    </row>
    <row r="68" spans="1:75" ht="13.5" customHeight="1" x14ac:dyDescent="0.25">
      <c r="A68" s="1" t="s">
        <v>199</v>
      </c>
      <c r="B68" s="2" t="s">
        <v>26</v>
      </c>
      <c r="C68" s="2" t="s">
        <v>200</v>
      </c>
      <c r="D68" s="95" t="s">
        <v>201</v>
      </c>
      <c r="E68" s="88"/>
      <c r="F68" s="2" t="s">
        <v>202</v>
      </c>
      <c r="G68" s="13">
        <v>3</v>
      </c>
      <c r="H68" s="78">
        <v>0</v>
      </c>
      <c r="I68" s="13">
        <f>G68*H68</f>
        <v>0</v>
      </c>
      <c r="K68" s="34"/>
      <c r="Z68" s="13">
        <f>IF(AQ68="5",BJ68,0)</f>
        <v>0</v>
      </c>
      <c r="AB68" s="13">
        <f>IF(AQ68="1",BH68,0)</f>
        <v>0</v>
      </c>
      <c r="AC68" s="13">
        <f>IF(AQ68="1",BI68,0)</f>
        <v>0</v>
      </c>
      <c r="AD68" s="13">
        <f>IF(AQ68="7",BH68,0)</f>
        <v>0</v>
      </c>
      <c r="AE68" s="13">
        <f>IF(AQ68="7",BI68,0)</f>
        <v>0</v>
      </c>
      <c r="AF68" s="13">
        <f>IF(AQ68="2",BH68,0)</f>
        <v>0</v>
      </c>
      <c r="AG68" s="13">
        <f>IF(AQ68="2",BI68,0)</f>
        <v>0</v>
      </c>
      <c r="AH68" s="13">
        <f>IF(AQ68="0",BJ68,0)</f>
        <v>0</v>
      </c>
      <c r="AI68" s="30" t="s">
        <v>26</v>
      </c>
      <c r="AJ68" s="13">
        <f>IF(AN68=0,I68,0)</f>
        <v>0</v>
      </c>
      <c r="AK68" s="13">
        <f>IF(AN68=12,I68,0)</f>
        <v>0</v>
      </c>
      <c r="AL68" s="13">
        <f>IF(AN68=21,I68,0)</f>
        <v>0</v>
      </c>
      <c r="AN68" s="13">
        <v>21</v>
      </c>
      <c r="AO68" s="13">
        <f>H68*0.549553846</f>
        <v>0</v>
      </c>
      <c r="AP68" s="13">
        <f>H68*(1-0.549553846)</f>
        <v>0</v>
      </c>
      <c r="AQ68" s="79" t="s">
        <v>23</v>
      </c>
      <c r="AV68" s="13">
        <f>AW68+AX68</f>
        <v>0</v>
      </c>
      <c r="AW68" s="13">
        <f>G68*AO68</f>
        <v>0</v>
      </c>
      <c r="AX68" s="13">
        <f>G68*AP68</f>
        <v>0</v>
      </c>
      <c r="AY68" s="79" t="s">
        <v>814</v>
      </c>
      <c r="AZ68" s="79" t="s">
        <v>810</v>
      </c>
      <c r="BA68" s="30" t="s">
        <v>801</v>
      </c>
      <c r="BC68" s="13">
        <f>AW68+AX68</f>
        <v>0</v>
      </c>
      <c r="BD68" s="13">
        <f>H68/(100-BE68)*100</f>
        <v>0</v>
      </c>
      <c r="BE68" s="13">
        <v>0</v>
      </c>
      <c r="BF68" s="13">
        <f>68</f>
        <v>68</v>
      </c>
      <c r="BH68" s="13">
        <f>G68*AO68</f>
        <v>0</v>
      </c>
      <c r="BI68" s="13">
        <f>G68*AP68</f>
        <v>0</v>
      </c>
      <c r="BJ68" s="13">
        <f>G68*H68</f>
        <v>0</v>
      </c>
      <c r="BK68" s="13"/>
      <c r="BL68" s="13">
        <v>63</v>
      </c>
      <c r="BW68" s="13">
        <v>21</v>
      </c>
    </row>
    <row r="69" spans="1:75" ht="13.5" customHeight="1" x14ac:dyDescent="0.25">
      <c r="A69" s="32"/>
      <c r="C69" s="80" t="s">
        <v>802</v>
      </c>
      <c r="D69" s="113" t="s">
        <v>816</v>
      </c>
      <c r="E69" s="114"/>
      <c r="F69" s="114"/>
      <c r="G69" s="114"/>
      <c r="H69" s="184"/>
      <c r="I69" s="114"/>
      <c r="J69" s="114"/>
      <c r="K69" s="185"/>
    </row>
    <row r="70" spans="1:75" x14ac:dyDescent="0.25">
      <c r="A70" s="75" t="s">
        <v>20</v>
      </c>
      <c r="B70" s="29" t="s">
        <v>26</v>
      </c>
      <c r="C70" s="29" t="s">
        <v>203</v>
      </c>
      <c r="D70" s="183" t="s">
        <v>204</v>
      </c>
      <c r="E70" s="112"/>
      <c r="F70" s="76" t="s">
        <v>13</v>
      </c>
      <c r="G70" s="76" t="s">
        <v>13</v>
      </c>
      <c r="H70" s="77" t="s">
        <v>13</v>
      </c>
      <c r="I70" s="61">
        <f>SUM(I71:I75)</f>
        <v>0</v>
      </c>
      <c r="K70" s="34"/>
      <c r="AI70" s="30" t="s">
        <v>26</v>
      </c>
      <c r="AS70" s="61">
        <f>SUM(AJ71:AJ75)</f>
        <v>0</v>
      </c>
      <c r="AT70" s="61">
        <f>SUM(AK71:AK75)</f>
        <v>0</v>
      </c>
      <c r="AU70" s="61">
        <f>SUM(AL71:AL75)</f>
        <v>0</v>
      </c>
    </row>
    <row r="71" spans="1:75" ht="13.5" customHeight="1" x14ac:dyDescent="0.25">
      <c r="A71" s="1" t="s">
        <v>205</v>
      </c>
      <c r="B71" s="2" t="s">
        <v>26</v>
      </c>
      <c r="C71" s="2" t="s">
        <v>206</v>
      </c>
      <c r="D71" s="95" t="s">
        <v>207</v>
      </c>
      <c r="E71" s="88"/>
      <c r="F71" s="2" t="s">
        <v>107</v>
      </c>
      <c r="G71" s="13">
        <v>2</v>
      </c>
      <c r="H71" s="78">
        <v>0</v>
      </c>
      <c r="I71" s="13">
        <f>G71*H71</f>
        <v>0</v>
      </c>
      <c r="K71" s="34"/>
      <c r="Z71" s="13">
        <f>IF(AQ71="5",BJ71,0)</f>
        <v>0</v>
      </c>
      <c r="AB71" s="13">
        <f>IF(AQ71="1",BH71,0)</f>
        <v>0</v>
      </c>
      <c r="AC71" s="13">
        <f>IF(AQ71="1",BI71,0)</f>
        <v>0</v>
      </c>
      <c r="AD71" s="13">
        <f>IF(AQ71="7",BH71,0)</f>
        <v>0</v>
      </c>
      <c r="AE71" s="13">
        <f>IF(AQ71="7",BI71,0)</f>
        <v>0</v>
      </c>
      <c r="AF71" s="13">
        <f>IF(AQ71="2",BH71,0)</f>
        <v>0</v>
      </c>
      <c r="AG71" s="13">
        <f>IF(AQ71="2",BI71,0)</f>
        <v>0</v>
      </c>
      <c r="AH71" s="13">
        <f>IF(AQ71="0",BJ71,0)</f>
        <v>0</v>
      </c>
      <c r="AI71" s="30" t="s">
        <v>26</v>
      </c>
      <c r="AJ71" s="13">
        <f>IF(AN71=0,I71,0)</f>
        <v>0</v>
      </c>
      <c r="AK71" s="13">
        <f>IF(AN71=12,I71,0)</f>
        <v>0</v>
      </c>
      <c r="AL71" s="13">
        <f>IF(AN71=21,I71,0)</f>
        <v>0</v>
      </c>
      <c r="AN71" s="13">
        <v>21</v>
      </c>
      <c r="AO71" s="13">
        <f>H71*0.637227053</f>
        <v>0</v>
      </c>
      <c r="AP71" s="13">
        <f>H71*(1-0.637227053)</f>
        <v>0</v>
      </c>
      <c r="AQ71" s="79" t="s">
        <v>23</v>
      </c>
      <c r="AV71" s="13">
        <f>AW71+AX71</f>
        <v>0</v>
      </c>
      <c r="AW71" s="13">
        <f>G71*AO71</f>
        <v>0</v>
      </c>
      <c r="AX71" s="13">
        <f>G71*AP71</f>
        <v>0</v>
      </c>
      <c r="AY71" s="79" t="s">
        <v>817</v>
      </c>
      <c r="AZ71" s="79" t="s">
        <v>810</v>
      </c>
      <c r="BA71" s="30" t="s">
        <v>801</v>
      </c>
      <c r="BC71" s="13">
        <f>AW71+AX71</f>
        <v>0</v>
      </c>
      <c r="BD71" s="13">
        <f>H71/(100-BE71)*100</f>
        <v>0</v>
      </c>
      <c r="BE71" s="13">
        <v>0</v>
      </c>
      <c r="BF71" s="13">
        <f>71</f>
        <v>71</v>
      </c>
      <c r="BH71" s="13">
        <f>G71*AO71</f>
        <v>0</v>
      </c>
      <c r="BI71" s="13">
        <f>G71*AP71</f>
        <v>0</v>
      </c>
      <c r="BJ71" s="13">
        <f>G71*H71</f>
        <v>0</v>
      </c>
      <c r="BK71" s="13"/>
      <c r="BL71" s="13">
        <v>64</v>
      </c>
      <c r="BW71" s="13">
        <v>21</v>
      </c>
    </row>
    <row r="72" spans="1:75" ht="13.5" customHeight="1" x14ac:dyDescent="0.25">
      <c r="A72" s="32"/>
      <c r="C72" s="80" t="s">
        <v>802</v>
      </c>
      <c r="D72" s="113" t="s">
        <v>818</v>
      </c>
      <c r="E72" s="114"/>
      <c r="F72" s="114"/>
      <c r="G72" s="114"/>
      <c r="H72" s="184"/>
      <c r="I72" s="114"/>
      <c r="J72" s="114"/>
      <c r="K72" s="185"/>
    </row>
    <row r="73" spans="1:75" ht="13.5" customHeight="1" x14ac:dyDescent="0.25">
      <c r="A73" s="1" t="s">
        <v>208</v>
      </c>
      <c r="B73" s="2" t="s">
        <v>26</v>
      </c>
      <c r="C73" s="2" t="s">
        <v>209</v>
      </c>
      <c r="D73" s="95" t="s">
        <v>210</v>
      </c>
      <c r="E73" s="88"/>
      <c r="F73" s="2" t="s">
        <v>107</v>
      </c>
      <c r="G73" s="13">
        <v>2</v>
      </c>
      <c r="H73" s="78">
        <v>0</v>
      </c>
      <c r="I73" s="13">
        <f>G73*H73</f>
        <v>0</v>
      </c>
      <c r="K73" s="34"/>
      <c r="Z73" s="13">
        <f>IF(AQ73="5",BJ73,0)</f>
        <v>0</v>
      </c>
      <c r="AB73" s="13">
        <f>IF(AQ73="1",BH73,0)</f>
        <v>0</v>
      </c>
      <c r="AC73" s="13">
        <f>IF(AQ73="1",BI73,0)</f>
        <v>0</v>
      </c>
      <c r="AD73" s="13">
        <f>IF(AQ73="7",BH73,0)</f>
        <v>0</v>
      </c>
      <c r="AE73" s="13">
        <f>IF(AQ73="7",BI73,0)</f>
        <v>0</v>
      </c>
      <c r="AF73" s="13">
        <f>IF(AQ73="2",BH73,0)</f>
        <v>0</v>
      </c>
      <c r="AG73" s="13">
        <f>IF(AQ73="2",BI73,0)</f>
        <v>0</v>
      </c>
      <c r="AH73" s="13">
        <f>IF(AQ73="0",BJ73,0)</f>
        <v>0</v>
      </c>
      <c r="AI73" s="30" t="s">
        <v>26</v>
      </c>
      <c r="AJ73" s="13">
        <f>IF(AN73=0,I73,0)</f>
        <v>0</v>
      </c>
      <c r="AK73" s="13">
        <f>IF(AN73=12,I73,0)</f>
        <v>0</v>
      </c>
      <c r="AL73" s="13">
        <f>IF(AN73=21,I73,0)</f>
        <v>0</v>
      </c>
      <c r="AN73" s="13">
        <v>21</v>
      </c>
      <c r="AO73" s="13">
        <f>H73*0.783768657</f>
        <v>0</v>
      </c>
      <c r="AP73" s="13">
        <f>H73*(1-0.783768657)</f>
        <v>0</v>
      </c>
      <c r="AQ73" s="79" t="s">
        <v>23</v>
      </c>
      <c r="AV73" s="13">
        <f>AW73+AX73</f>
        <v>0</v>
      </c>
      <c r="AW73" s="13">
        <f>G73*AO73</f>
        <v>0</v>
      </c>
      <c r="AX73" s="13">
        <f>G73*AP73</f>
        <v>0</v>
      </c>
      <c r="AY73" s="79" t="s">
        <v>817</v>
      </c>
      <c r="AZ73" s="79" t="s">
        <v>810</v>
      </c>
      <c r="BA73" s="30" t="s">
        <v>801</v>
      </c>
      <c r="BC73" s="13">
        <f>AW73+AX73</f>
        <v>0</v>
      </c>
      <c r="BD73" s="13">
        <f>H73/(100-BE73)*100</f>
        <v>0</v>
      </c>
      <c r="BE73" s="13">
        <v>0</v>
      </c>
      <c r="BF73" s="13">
        <f>73</f>
        <v>73</v>
      </c>
      <c r="BH73" s="13">
        <f>G73*AO73</f>
        <v>0</v>
      </c>
      <c r="BI73" s="13">
        <f>G73*AP73</f>
        <v>0</v>
      </c>
      <c r="BJ73" s="13">
        <f>G73*H73</f>
        <v>0</v>
      </c>
      <c r="BK73" s="13"/>
      <c r="BL73" s="13">
        <v>64</v>
      </c>
      <c r="BW73" s="13">
        <v>21</v>
      </c>
    </row>
    <row r="74" spans="1:75" ht="13.5" customHeight="1" x14ac:dyDescent="0.25">
      <c r="A74" s="32"/>
      <c r="C74" s="80" t="s">
        <v>802</v>
      </c>
      <c r="D74" s="113" t="s">
        <v>819</v>
      </c>
      <c r="E74" s="114"/>
      <c r="F74" s="114"/>
      <c r="G74" s="114"/>
      <c r="H74" s="184"/>
      <c r="I74" s="114"/>
      <c r="J74" s="114"/>
      <c r="K74" s="185"/>
    </row>
    <row r="75" spans="1:75" ht="13.5" customHeight="1" x14ac:dyDescent="0.25">
      <c r="A75" s="1" t="s">
        <v>211</v>
      </c>
      <c r="B75" s="2" t="s">
        <v>26</v>
      </c>
      <c r="C75" s="2" t="s">
        <v>212</v>
      </c>
      <c r="D75" s="95" t="s">
        <v>213</v>
      </c>
      <c r="E75" s="88"/>
      <c r="F75" s="2" t="s">
        <v>61</v>
      </c>
      <c r="G75" s="13">
        <v>1</v>
      </c>
      <c r="H75" s="78">
        <v>0</v>
      </c>
      <c r="I75" s="13">
        <f>G75*H75</f>
        <v>0</v>
      </c>
      <c r="K75" s="34"/>
      <c r="Z75" s="13">
        <f>IF(AQ75="5",BJ75,0)</f>
        <v>0</v>
      </c>
      <c r="AB75" s="13">
        <f>IF(AQ75="1",BH75,0)</f>
        <v>0</v>
      </c>
      <c r="AC75" s="13">
        <f>IF(AQ75="1",BI75,0)</f>
        <v>0</v>
      </c>
      <c r="AD75" s="13">
        <f>IF(AQ75="7",BH75,0)</f>
        <v>0</v>
      </c>
      <c r="AE75" s="13">
        <f>IF(AQ75="7",BI75,0)</f>
        <v>0</v>
      </c>
      <c r="AF75" s="13">
        <f>IF(AQ75="2",BH75,0)</f>
        <v>0</v>
      </c>
      <c r="AG75" s="13">
        <f>IF(AQ75="2",BI75,0)</f>
        <v>0</v>
      </c>
      <c r="AH75" s="13">
        <f>IF(AQ75="0",BJ75,0)</f>
        <v>0</v>
      </c>
      <c r="AI75" s="30" t="s">
        <v>26</v>
      </c>
      <c r="AJ75" s="13">
        <f>IF(AN75=0,I75,0)</f>
        <v>0</v>
      </c>
      <c r="AK75" s="13">
        <f>IF(AN75=12,I75,0)</f>
        <v>0</v>
      </c>
      <c r="AL75" s="13">
        <f>IF(AN75=21,I75,0)</f>
        <v>0</v>
      </c>
      <c r="AN75" s="13">
        <v>21</v>
      </c>
      <c r="AO75" s="13">
        <f>H75*0</f>
        <v>0</v>
      </c>
      <c r="AP75" s="13">
        <f>H75*(1-0)</f>
        <v>0</v>
      </c>
      <c r="AQ75" s="79" t="s">
        <v>23</v>
      </c>
      <c r="AV75" s="13">
        <f>AW75+AX75</f>
        <v>0</v>
      </c>
      <c r="AW75" s="13">
        <f>G75*AO75</f>
        <v>0</v>
      </c>
      <c r="AX75" s="13">
        <f>G75*AP75</f>
        <v>0</v>
      </c>
      <c r="AY75" s="79" t="s">
        <v>817</v>
      </c>
      <c r="AZ75" s="79" t="s">
        <v>810</v>
      </c>
      <c r="BA75" s="30" t="s">
        <v>801</v>
      </c>
      <c r="BC75" s="13">
        <f>AW75+AX75</f>
        <v>0</v>
      </c>
      <c r="BD75" s="13">
        <f>H75/(100-BE75)*100</f>
        <v>0</v>
      </c>
      <c r="BE75" s="13">
        <v>0</v>
      </c>
      <c r="BF75" s="13">
        <f>75</f>
        <v>75</v>
      </c>
      <c r="BH75" s="13">
        <f>G75*AO75</f>
        <v>0</v>
      </c>
      <c r="BI75" s="13">
        <f>G75*AP75</f>
        <v>0</v>
      </c>
      <c r="BJ75" s="13">
        <f>G75*H75</f>
        <v>0</v>
      </c>
      <c r="BK75" s="13"/>
      <c r="BL75" s="13">
        <v>64</v>
      </c>
      <c r="BW75" s="13">
        <v>21</v>
      </c>
    </row>
    <row r="76" spans="1:75" ht="40.5" customHeight="1" x14ac:dyDescent="0.25">
      <c r="A76" s="32"/>
      <c r="C76" s="80" t="s">
        <v>49</v>
      </c>
      <c r="D76" s="113" t="s">
        <v>214</v>
      </c>
      <c r="E76" s="114"/>
      <c r="F76" s="114"/>
      <c r="G76" s="114"/>
      <c r="H76" s="184"/>
      <c r="I76" s="114"/>
      <c r="J76" s="114"/>
      <c r="K76" s="185"/>
    </row>
    <row r="77" spans="1:75" x14ac:dyDescent="0.25">
      <c r="A77" s="75" t="s">
        <v>20</v>
      </c>
      <c r="B77" s="29" t="s">
        <v>26</v>
      </c>
      <c r="C77" s="29" t="s">
        <v>215</v>
      </c>
      <c r="D77" s="183" t="s">
        <v>216</v>
      </c>
      <c r="E77" s="112"/>
      <c r="F77" s="76" t="s">
        <v>13</v>
      </c>
      <c r="G77" s="76" t="s">
        <v>13</v>
      </c>
      <c r="H77" s="77" t="s">
        <v>13</v>
      </c>
      <c r="I77" s="61">
        <f>SUM(I78:I82)</f>
        <v>0</v>
      </c>
      <c r="K77" s="34"/>
      <c r="AI77" s="30" t="s">
        <v>26</v>
      </c>
      <c r="AS77" s="61">
        <f>SUM(AJ78:AJ82)</f>
        <v>0</v>
      </c>
      <c r="AT77" s="61">
        <f>SUM(AK78:AK82)</f>
        <v>0</v>
      </c>
      <c r="AU77" s="61">
        <f>SUM(AL78:AL82)</f>
        <v>0</v>
      </c>
    </row>
    <row r="78" spans="1:75" ht="13.5" customHeight="1" x14ac:dyDescent="0.25">
      <c r="A78" s="1" t="s">
        <v>217</v>
      </c>
      <c r="B78" s="2" t="s">
        <v>26</v>
      </c>
      <c r="C78" s="2" t="s">
        <v>218</v>
      </c>
      <c r="D78" s="95" t="s">
        <v>219</v>
      </c>
      <c r="E78" s="88"/>
      <c r="F78" s="2" t="s">
        <v>91</v>
      </c>
      <c r="G78" s="13">
        <v>28.597000000000001</v>
      </c>
      <c r="H78" s="78">
        <v>0</v>
      </c>
      <c r="I78" s="13">
        <f>G78*H78</f>
        <v>0</v>
      </c>
      <c r="K78" s="34"/>
      <c r="Z78" s="13">
        <f>IF(AQ78="5",BJ78,0)</f>
        <v>0</v>
      </c>
      <c r="AB78" s="13">
        <f>IF(AQ78="1",BH78,0)</f>
        <v>0</v>
      </c>
      <c r="AC78" s="13">
        <f>IF(AQ78="1",BI78,0)</f>
        <v>0</v>
      </c>
      <c r="AD78" s="13">
        <f>IF(AQ78="7",BH78,0)</f>
        <v>0</v>
      </c>
      <c r="AE78" s="13">
        <f>IF(AQ78="7",BI78,0)</f>
        <v>0</v>
      </c>
      <c r="AF78" s="13">
        <f>IF(AQ78="2",BH78,0)</f>
        <v>0</v>
      </c>
      <c r="AG78" s="13">
        <f>IF(AQ78="2",BI78,0)</f>
        <v>0</v>
      </c>
      <c r="AH78" s="13">
        <f>IF(AQ78="0",BJ78,0)</f>
        <v>0</v>
      </c>
      <c r="AI78" s="30" t="s">
        <v>26</v>
      </c>
      <c r="AJ78" s="13">
        <f>IF(AN78=0,I78,0)</f>
        <v>0</v>
      </c>
      <c r="AK78" s="13">
        <f>IF(AN78=12,I78,0)</f>
        <v>0</v>
      </c>
      <c r="AL78" s="13">
        <f>IF(AN78=21,I78,0)</f>
        <v>0</v>
      </c>
      <c r="AN78" s="13">
        <v>21</v>
      </c>
      <c r="AO78" s="13">
        <f>H78*0</f>
        <v>0</v>
      </c>
      <c r="AP78" s="13">
        <f>H78*(1-0)</f>
        <v>0</v>
      </c>
      <c r="AQ78" s="79" t="s">
        <v>75</v>
      </c>
      <c r="AV78" s="13">
        <f>AW78+AX78</f>
        <v>0</v>
      </c>
      <c r="AW78" s="13">
        <f>G78*AO78</f>
        <v>0</v>
      </c>
      <c r="AX78" s="13">
        <f>G78*AP78</f>
        <v>0</v>
      </c>
      <c r="AY78" s="79" t="s">
        <v>820</v>
      </c>
      <c r="AZ78" s="79" t="s">
        <v>821</v>
      </c>
      <c r="BA78" s="30" t="s">
        <v>801</v>
      </c>
      <c r="BC78" s="13">
        <f>AW78+AX78</f>
        <v>0</v>
      </c>
      <c r="BD78" s="13">
        <f>H78/(100-BE78)*100</f>
        <v>0</v>
      </c>
      <c r="BE78" s="13">
        <v>0</v>
      </c>
      <c r="BF78" s="13">
        <f>78</f>
        <v>78</v>
      </c>
      <c r="BH78" s="13">
        <f>G78*AO78</f>
        <v>0</v>
      </c>
      <c r="BI78" s="13">
        <f>G78*AP78</f>
        <v>0</v>
      </c>
      <c r="BJ78" s="13">
        <f>G78*H78</f>
        <v>0</v>
      </c>
      <c r="BK78" s="13"/>
      <c r="BL78" s="13">
        <v>711</v>
      </c>
      <c r="BW78" s="13">
        <v>21</v>
      </c>
    </row>
    <row r="79" spans="1:75" ht="13.5" customHeight="1" x14ac:dyDescent="0.25">
      <c r="A79" s="1" t="s">
        <v>221</v>
      </c>
      <c r="B79" s="2" t="s">
        <v>26</v>
      </c>
      <c r="C79" s="2" t="s">
        <v>222</v>
      </c>
      <c r="D79" s="95" t="s">
        <v>223</v>
      </c>
      <c r="E79" s="88"/>
      <c r="F79" s="2" t="s">
        <v>91</v>
      </c>
      <c r="G79" s="13">
        <v>23.343</v>
      </c>
      <c r="H79" s="78">
        <v>0</v>
      </c>
      <c r="I79" s="13">
        <f>G79*H79</f>
        <v>0</v>
      </c>
      <c r="K79" s="34"/>
      <c r="Z79" s="13">
        <f>IF(AQ79="5",BJ79,0)</f>
        <v>0</v>
      </c>
      <c r="AB79" s="13">
        <f>IF(AQ79="1",BH79,0)</f>
        <v>0</v>
      </c>
      <c r="AC79" s="13">
        <f>IF(AQ79="1",BI79,0)</f>
        <v>0</v>
      </c>
      <c r="AD79" s="13">
        <f>IF(AQ79="7",BH79,0)</f>
        <v>0</v>
      </c>
      <c r="AE79" s="13">
        <f>IF(AQ79="7",BI79,0)</f>
        <v>0</v>
      </c>
      <c r="AF79" s="13">
        <f>IF(AQ79="2",BH79,0)</f>
        <v>0</v>
      </c>
      <c r="AG79" s="13">
        <f>IF(AQ79="2",BI79,0)</f>
        <v>0</v>
      </c>
      <c r="AH79" s="13">
        <f>IF(AQ79="0",BJ79,0)</f>
        <v>0</v>
      </c>
      <c r="AI79" s="30" t="s">
        <v>26</v>
      </c>
      <c r="AJ79" s="13">
        <f>IF(AN79=0,I79,0)</f>
        <v>0</v>
      </c>
      <c r="AK79" s="13">
        <f>IF(AN79=12,I79,0)</f>
        <v>0</v>
      </c>
      <c r="AL79" s="13">
        <f>IF(AN79=21,I79,0)</f>
        <v>0</v>
      </c>
      <c r="AN79" s="13">
        <v>21</v>
      </c>
      <c r="AO79" s="13">
        <f>H79*0.513658108</f>
        <v>0</v>
      </c>
      <c r="AP79" s="13">
        <f>H79*(1-0.513658108)</f>
        <v>0</v>
      </c>
      <c r="AQ79" s="79" t="s">
        <v>75</v>
      </c>
      <c r="AV79" s="13">
        <f>AW79+AX79</f>
        <v>0</v>
      </c>
      <c r="AW79" s="13">
        <f>G79*AO79</f>
        <v>0</v>
      </c>
      <c r="AX79" s="13">
        <f>G79*AP79</f>
        <v>0</v>
      </c>
      <c r="AY79" s="79" t="s">
        <v>820</v>
      </c>
      <c r="AZ79" s="79" t="s">
        <v>821</v>
      </c>
      <c r="BA79" s="30" t="s">
        <v>801</v>
      </c>
      <c r="BC79" s="13">
        <f>AW79+AX79</f>
        <v>0</v>
      </c>
      <c r="BD79" s="13">
        <f>H79/(100-BE79)*100</f>
        <v>0</v>
      </c>
      <c r="BE79" s="13">
        <v>0</v>
      </c>
      <c r="BF79" s="13">
        <f>79</f>
        <v>79</v>
      </c>
      <c r="BH79" s="13">
        <f>G79*AO79</f>
        <v>0</v>
      </c>
      <c r="BI79" s="13">
        <f>G79*AP79</f>
        <v>0</v>
      </c>
      <c r="BJ79" s="13">
        <f>G79*H79</f>
        <v>0</v>
      </c>
      <c r="BK79" s="13"/>
      <c r="BL79" s="13">
        <v>711</v>
      </c>
      <c r="BW79" s="13">
        <v>21</v>
      </c>
    </row>
    <row r="80" spans="1:75" ht="13.5" customHeight="1" x14ac:dyDescent="0.25">
      <c r="A80" s="32"/>
      <c r="C80" s="80" t="s">
        <v>802</v>
      </c>
      <c r="D80" s="113" t="s">
        <v>822</v>
      </c>
      <c r="E80" s="114"/>
      <c r="F80" s="114"/>
      <c r="G80" s="114"/>
      <c r="H80" s="184"/>
      <c r="I80" s="114"/>
      <c r="J80" s="114"/>
      <c r="K80" s="185"/>
    </row>
    <row r="81" spans="1:75" ht="13.5" customHeight="1" x14ac:dyDescent="0.25">
      <c r="A81" s="1" t="s">
        <v>224</v>
      </c>
      <c r="B81" s="2" t="s">
        <v>26</v>
      </c>
      <c r="C81" s="2" t="s">
        <v>225</v>
      </c>
      <c r="D81" s="95" t="s">
        <v>226</v>
      </c>
      <c r="E81" s="88"/>
      <c r="F81" s="2" t="s">
        <v>127</v>
      </c>
      <c r="G81" s="13">
        <v>37.6</v>
      </c>
      <c r="H81" s="78">
        <v>0</v>
      </c>
      <c r="I81" s="13">
        <f>G81*H81</f>
        <v>0</v>
      </c>
      <c r="K81" s="34"/>
      <c r="Z81" s="13">
        <f>IF(AQ81="5",BJ81,0)</f>
        <v>0</v>
      </c>
      <c r="AB81" s="13">
        <f>IF(AQ81="1",BH81,0)</f>
        <v>0</v>
      </c>
      <c r="AC81" s="13">
        <f>IF(AQ81="1",BI81,0)</f>
        <v>0</v>
      </c>
      <c r="AD81" s="13">
        <f>IF(AQ81="7",BH81,0)</f>
        <v>0</v>
      </c>
      <c r="AE81" s="13">
        <f>IF(AQ81="7",BI81,0)</f>
        <v>0</v>
      </c>
      <c r="AF81" s="13">
        <f>IF(AQ81="2",BH81,0)</f>
        <v>0</v>
      </c>
      <c r="AG81" s="13">
        <f>IF(AQ81="2",BI81,0)</f>
        <v>0</v>
      </c>
      <c r="AH81" s="13">
        <f>IF(AQ81="0",BJ81,0)</f>
        <v>0</v>
      </c>
      <c r="AI81" s="30" t="s">
        <v>26</v>
      </c>
      <c r="AJ81" s="13">
        <f>IF(AN81=0,I81,0)</f>
        <v>0</v>
      </c>
      <c r="AK81" s="13">
        <f>IF(AN81=12,I81,0)</f>
        <v>0</v>
      </c>
      <c r="AL81" s="13">
        <f>IF(AN81=21,I81,0)</f>
        <v>0</v>
      </c>
      <c r="AN81" s="13">
        <v>21</v>
      </c>
      <c r="AO81" s="13">
        <f>H81*0.462701744</f>
        <v>0</v>
      </c>
      <c r="AP81" s="13">
        <f>H81*(1-0.462701744)</f>
        <v>0</v>
      </c>
      <c r="AQ81" s="79" t="s">
        <v>75</v>
      </c>
      <c r="AV81" s="13">
        <f>AW81+AX81</f>
        <v>0</v>
      </c>
      <c r="AW81" s="13">
        <f>G81*AO81</f>
        <v>0</v>
      </c>
      <c r="AX81" s="13">
        <f>G81*AP81</f>
        <v>0</v>
      </c>
      <c r="AY81" s="79" t="s">
        <v>820</v>
      </c>
      <c r="AZ81" s="79" t="s">
        <v>821</v>
      </c>
      <c r="BA81" s="30" t="s">
        <v>801</v>
      </c>
      <c r="BC81" s="13">
        <f>AW81+AX81</f>
        <v>0</v>
      </c>
      <c r="BD81" s="13">
        <f>H81/(100-BE81)*100</f>
        <v>0</v>
      </c>
      <c r="BE81" s="13">
        <v>0</v>
      </c>
      <c r="BF81" s="13">
        <f>81</f>
        <v>81</v>
      </c>
      <c r="BH81" s="13">
        <f>G81*AO81</f>
        <v>0</v>
      </c>
      <c r="BI81" s="13">
        <f>G81*AP81</f>
        <v>0</v>
      </c>
      <c r="BJ81" s="13">
        <f>G81*H81</f>
        <v>0</v>
      </c>
      <c r="BK81" s="13"/>
      <c r="BL81" s="13">
        <v>711</v>
      </c>
      <c r="BW81" s="13">
        <v>21</v>
      </c>
    </row>
    <row r="82" spans="1:75" ht="13.5" customHeight="1" x14ac:dyDescent="0.25">
      <c r="A82" s="1" t="s">
        <v>228</v>
      </c>
      <c r="B82" s="2" t="s">
        <v>26</v>
      </c>
      <c r="C82" s="2" t="s">
        <v>229</v>
      </c>
      <c r="D82" s="95" t="s">
        <v>230</v>
      </c>
      <c r="E82" s="88"/>
      <c r="F82" s="2" t="s">
        <v>231</v>
      </c>
      <c r="G82" s="13">
        <v>129.59</v>
      </c>
      <c r="H82" s="78">
        <v>0</v>
      </c>
      <c r="I82" s="13">
        <f>G82*H82</f>
        <v>0</v>
      </c>
      <c r="K82" s="34"/>
      <c r="Z82" s="13">
        <f>IF(AQ82="5",BJ82,0)</f>
        <v>0</v>
      </c>
      <c r="AB82" s="13">
        <f>IF(AQ82="1",BH82,0)</f>
        <v>0</v>
      </c>
      <c r="AC82" s="13">
        <f>IF(AQ82="1",BI82,0)</f>
        <v>0</v>
      </c>
      <c r="AD82" s="13">
        <f>IF(AQ82="7",BH82,0)</f>
        <v>0</v>
      </c>
      <c r="AE82" s="13">
        <f>IF(AQ82="7",BI82,0)</f>
        <v>0</v>
      </c>
      <c r="AF82" s="13">
        <f>IF(AQ82="2",BH82,0)</f>
        <v>0</v>
      </c>
      <c r="AG82" s="13">
        <f>IF(AQ82="2",BI82,0)</f>
        <v>0</v>
      </c>
      <c r="AH82" s="13">
        <f>IF(AQ82="0",BJ82,0)</f>
        <v>0</v>
      </c>
      <c r="AI82" s="30" t="s">
        <v>26</v>
      </c>
      <c r="AJ82" s="13">
        <f>IF(AN82=0,I82,0)</f>
        <v>0</v>
      </c>
      <c r="AK82" s="13">
        <f>IF(AN82=12,I82,0)</f>
        <v>0</v>
      </c>
      <c r="AL82" s="13">
        <f>IF(AN82=21,I82,0)</f>
        <v>0</v>
      </c>
      <c r="AN82" s="13">
        <v>21</v>
      </c>
      <c r="AO82" s="13">
        <f>H82*0</f>
        <v>0</v>
      </c>
      <c r="AP82" s="13">
        <f>H82*(1-0)</f>
        <v>0</v>
      </c>
      <c r="AQ82" s="79" t="s">
        <v>70</v>
      </c>
      <c r="AV82" s="13">
        <f>AW82+AX82</f>
        <v>0</v>
      </c>
      <c r="AW82" s="13">
        <f>G82*AO82</f>
        <v>0</v>
      </c>
      <c r="AX82" s="13">
        <f>G82*AP82</f>
        <v>0</v>
      </c>
      <c r="AY82" s="79" t="s">
        <v>820</v>
      </c>
      <c r="AZ82" s="79" t="s">
        <v>821</v>
      </c>
      <c r="BA82" s="30" t="s">
        <v>801</v>
      </c>
      <c r="BC82" s="13">
        <f>AW82+AX82</f>
        <v>0</v>
      </c>
      <c r="BD82" s="13">
        <f>H82/(100-BE82)*100</f>
        <v>0</v>
      </c>
      <c r="BE82" s="13">
        <v>0</v>
      </c>
      <c r="BF82" s="13">
        <f>82</f>
        <v>82</v>
      </c>
      <c r="BH82" s="13">
        <f>G82*AO82</f>
        <v>0</v>
      </c>
      <c r="BI82" s="13">
        <f>G82*AP82</f>
        <v>0</v>
      </c>
      <c r="BJ82" s="13">
        <f>G82*H82</f>
        <v>0</v>
      </c>
      <c r="BK82" s="13"/>
      <c r="BL82" s="13">
        <v>711</v>
      </c>
      <c r="BW82" s="13">
        <v>21</v>
      </c>
    </row>
    <row r="83" spans="1:75" x14ac:dyDescent="0.25">
      <c r="A83" s="75" t="s">
        <v>20</v>
      </c>
      <c r="B83" s="29" t="s">
        <v>26</v>
      </c>
      <c r="C83" s="29" t="s">
        <v>232</v>
      </c>
      <c r="D83" s="183" t="s">
        <v>233</v>
      </c>
      <c r="E83" s="112"/>
      <c r="F83" s="76" t="s">
        <v>13</v>
      </c>
      <c r="G83" s="76" t="s">
        <v>13</v>
      </c>
      <c r="H83" s="77" t="s">
        <v>13</v>
      </c>
      <c r="I83" s="61">
        <f>SUM(I84:I88)</f>
        <v>0</v>
      </c>
      <c r="K83" s="34"/>
      <c r="AI83" s="30" t="s">
        <v>26</v>
      </c>
      <c r="AS83" s="61">
        <f>SUM(AJ84:AJ88)</f>
        <v>0</v>
      </c>
      <c r="AT83" s="61">
        <f>SUM(AK84:AK88)</f>
        <v>0</v>
      </c>
      <c r="AU83" s="61">
        <f>SUM(AL84:AL88)</f>
        <v>0</v>
      </c>
    </row>
    <row r="84" spans="1:75" ht="13.5" customHeight="1" x14ac:dyDescent="0.25">
      <c r="A84" s="1" t="s">
        <v>234</v>
      </c>
      <c r="B84" s="2" t="s">
        <v>26</v>
      </c>
      <c r="C84" s="2" t="s">
        <v>235</v>
      </c>
      <c r="D84" s="95" t="s">
        <v>236</v>
      </c>
      <c r="E84" s="88"/>
      <c r="F84" s="2" t="s">
        <v>127</v>
      </c>
      <c r="G84" s="13">
        <v>2</v>
      </c>
      <c r="H84" s="78">
        <v>0</v>
      </c>
      <c r="I84" s="13">
        <f>G84*H84</f>
        <v>0</v>
      </c>
      <c r="K84" s="34"/>
      <c r="Z84" s="13">
        <f>IF(AQ84="5",BJ84,0)</f>
        <v>0</v>
      </c>
      <c r="AB84" s="13">
        <f>IF(AQ84="1",BH84,0)</f>
        <v>0</v>
      </c>
      <c r="AC84" s="13">
        <f>IF(AQ84="1",BI84,0)</f>
        <v>0</v>
      </c>
      <c r="AD84" s="13">
        <f>IF(AQ84="7",BH84,0)</f>
        <v>0</v>
      </c>
      <c r="AE84" s="13">
        <f>IF(AQ84="7",BI84,0)</f>
        <v>0</v>
      </c>
      <c r="AF84" s="13">
        <f>IF(AQ84="2",BH84,0)</f>
        <v>0</v>
      </c>
      <c r="AG84" s="13">
        <f>IF(AQ84="2",BI84,0)</f>
        <v>0</v>
      </c>
      <c r="AH84" s="13">
        <f>IF(AQ84="0",BJ84,0)</f>
        <v>0</v>
      </c>
      <c r="AI84" s="30" t="s">
        <v>26</v>
      </c>
      <c r="AJ84" s="13">
        <f>IF(AN84=0,I84,0)</f>
        <v>0</v>
      </c>
      <c r="AK84" s="13">
        <f>IF(AN84=12,I84,0)</f>
        <v>0</v>
      </c>
      <c r="AL84" s="13">
        <f>IF(AN84=21,I84,0)</f>
        <v>0</v>
      </c>
      <c r="AN84" s="13">
        <v>21</v>
      </c>
      <c r="AO84" s="13">
        <f>H84*0.387809847</f>
        <v>0</v>
      </c>
      <c r="AP84" s="13">
        <f>H84*(1-0.387809847)</f>
        <v>0</v>
      </c>
      <c r="AQ84" s="79" t="s">
        <v>75</v>
      </c>
      <c r="AV84" s="13">
        <f>AW84+AX84</f>
        <v>0</v>
      </c>
      <c r="AW84" s="13">
        <f>G84*AO84</f>
        <v>0</v>
      </c>
      <c r="AX84" s="13">
        <f>G84*AP84</f>
        <v>0</v>
      </c>
      <c r="AY84" s="79" t="s">
        <v>823</v>
      </c>
      <c r="AZ84" s="79" t="s">
        <v>824</v>
      </c>
      <c r="BA84" s="30" t="s">
        <v>801</v>
      </c>
      <c r="BC84" s="13">
        <f>AW84+AX84</f>
        <v>0</v>
      </c>
      <c r="BD84" s="13">
        <f>H84/(100-BE84)*100</f>
        <v>0</v>
      </c>
      <c r="BE84" s="13">
        <v>0</v>
      </c>
      <c r="BF84" s="13">
        <f>84</f>
        <v>84</v>
      </c>
      <c r="BH84" s="13">
        <f>G84*AO84</f>
        <v>0</v>
      </c>
      <c r="BI84" s="13">
        <f>G84*AP84</f>
        <v>0</v>
      </c>
      <c r="BJ84" s="13">
        <f>G84*H84</f>
        <v>0</v>
      </c>
      <c r="BK84" s="13"/>
      <c r="BL84" s="13">
        <v>721</v>
      </c>
      <c r="BW84" s="13">
        <v>21</v>
      </c>
    </row>
    <row r="85" spans="1:75" ht="13.5" customHeight="1" x14ac:dyDescent="0.25">
      <c r="A85" s="1" t="s">
        <v>237</v>
      </c>
      <c r="B85" s="2" t="s">
        <v>26</v>
      </c>
      <c r="C85" s="2" t="s">
        <v>238</v>
      </c>
      <c r="D85" s="95" t="s">
        <v>239</v>
      </c>
      <c r="E85" s="88"/>
      <c r="F85" s="2" t="s">
        <v>127</v>
      </c>
      <c r="G85" s="13">
        <v>3</v>
      </c>
      <c r="H85" s="78">
        <v>0</v>
      </c>
      <c r="I85" s="13">
        <f>G85*H85</f>
        <v>0</v>
      </c>
      <c r="K85" s="34"/>
      <c r="Z85" s="13">
        <f>IF(AQ85="5",BJ85,0)</f>
        <v>0</v>
      </c>
      <c r="AB85" s="13">
        <f>IF(AQ85="1",BH85,0)</f>
        <v>0</v>
      </c>
      <c r="AC85" s="13">
        <f>IF(AQ85="1",BI85,0)</f>
        <v>0</v>
      </c>
      <c r="AD85" s="13">
        <f>IF(AQ85="7",BH85,0)</f>
        <v>0</v>
      </c>
      <c r="AE85" s="13">
        <f>IF(AQ85="7",BI85,0)</f>
        <v>0</v>
      </c>
      <c r="AF85" s="13">
        <f>IF(AQ85="2",BH85,0)</f>
        <v>0</v>
      </c>
      <c r="AG85" s="13">
        <f>IF(AQ85="2",BI85,0)</f>
        <v>0</v>
      </c>
      <c r="AH85" s="13">
        <f>IF(AQ85="0",BJ85,0)</f>
        <v>0</v>
      </c>
      <c r="AI85" s="30" t="s">
        <v>26</v>
      </c>
      <c r="AJ85" s="13">
        <f>IF(AN85=0,I85,0)</f>
        <v>0</v>
      </c>
      <c r="AK85" s="13">
        <f>IF(AN85=12,I85,0)</f>
        <v>0</v>
      </c>
      <c r="AL85" s="13">
        <f>IF(AN85=21,I85,0)</f>
        <v>0</v>
      </c>
      <c r="AN85" s="13">
        <v>21</v>
      </c>
      <c r="AO85" s="13">
        <f>H85*0.385995956</f>
        <v>0</v>
      </c>
      <c r="AP85" s="13">
        <f>H85*(1-0.385995956)</f>
        <v>0</v>
      </c>
      <c r="AQ85" s="79" t="s">
        <v>75</v>
      </c>
      <c r="AV85" s="13">
        <f>AW85+AX85</f>
        <v>0</v>
      </c>
      <c r="AW85" s="13">
        <f>G85*AO85</f>
        <v>0</v>
      </c>
      <c r="AX85" s="13">
        <f>G85*AP85</f>
        <v>0</v>
      </c>
      <c r="AY85" s="79" t="s">
        <v>823</v>
      </c>
      <c r="AZ85" s="79" t="s">
        <v>824</v>
      </c>
      <c r="BA85" s="30" t="s">
        <v>801</v>
      </c>
      <c r="BC85" s="13">
        <f>AW85+AX85</f>
        <v>0</v>
      </c>
      <c r="BD85" s="13">
        <f>H85/(100-BE85)*100</f>
        <v>0</v>
      </c>
      <c r="BE85" s="13">
        <v>0</v>
      </c>
      <c r="BF85" s="13">
        <f>85</f>
        <v>85</v>
      </c>
      <c r="BH85" s="13">
        <f>G85*AO85</f>
        <v>0</v>
      </c>
      <c r="BI85" s="13">
        <f>G85*AP85</f>
        <v>0</v>
      </c>
      <c r="BJ85" s="13">
        <f>G85*H85</f>
        <v>0</v>
      </c>
      <c r="BK85" s="13"/>
      <c r="BL85" s="13">
        <v>721</v>
      </c>
      <c r="BW85" s="13">
        <v>21</v>
      </c>
    </row>
    <row r="86" spans="1:75" ht="13.5" customHeight="1" x14ac:dyDescent="0.25">
      <c r="A86" s="1" t="s">
        <v>240</v>
      </c>
      <c r="B86" s="2" t="s">
        <v>26</v>
      </c>
      <c r="C86" s="2" t="s">
        <v>241</v>
      </c>
      <c r="D86" s="95" t="s">
        <v>242</v>
      </c>
      <c r="E86" s="88"/>
      <c r="F86" s="2" t="s">
        <v>127</v>
      </c>
      <c r="G86" s="13">
        <v>18</v>
      </c>
      <c r="H86" s="78">
        <v>0</v>
      </c>
      <c r="I86" s="13">
        <f>G86*H86</f>
        <v>0</v>
      </c>
      <c r="K86" s="34"/>
      <c r="Z86" s="13">
        <f>IF(AQ86="5",BJ86,0)</f>
        <v>0</v>
      </c>
      <c r="AB86" s="13">
        <f>IF(AQ86="1",BH86,0)</f>
        <v>0</v>
      </c>
      <c r="AC86" s="13">
        <f>IF(AQ86="1",BI86,0)</f>
        <v>0</v>
      </c>
      <c r="AD86" s="13">
        <f>IF(AQ86="7",BH86,0)</f>
        <v>0</v>
      </c>
      <c r="AE86" s="13">
        <f>IF(AQ86="7",BI86,0)</f>
        <v>0</v>
      </c>
      <c r="AF86" s="13">
        <f>IF(AQ86="2",BH86,0)</f>
        <v>0</v>
      </c>
      <c r="AG86" s="13">
        <f>IF(AQ86="2",BI86,0)</f>
        <v>0</v>
      </c>
      <c r="AH86" s="13">
        <f>IF(AQ86="0",BJ86,0)</f>
        <v>0</v>
      </c>
      <c r="AI86" s="30" t="s">
        <v>26</v>
      </c>
      <c r="AJ86" s="13">
        <f>IF(AN86=0,I86,0)</f>
        <v>0</v>
      </c>
      <c r="AK86" s="13">
        <f>IF(AN86=12,I86,0)</f>
        <v>0</v>
      </c>
      <c r="AL86" s="13">
        <f>IF(AN86=21,I86,0)</f>
        <v>0</v>
      </c>
      <c r="AN86" s="13">
        <v>21</v>
      </c>
      <c r="AO86" s="13">
        <f>H86*0.369389313</f>
        <v>0</v>
      </c>
      <c r="AP86" s="13">
        <f>H86*(1-0.369389313)</f>
        <v>0</v>
      </c>
      <c r="AQ86" s="79" t="s">
        <v>75</v>
      </c>
      <c r="AV86" s="13">
        <f>AW86+AX86</f>
        <v>0</v>
      </c>
      <c r="AW86" s="13">
        <f>G86*AO86</f>
        <v>0</v>
      </c>
      <c r="AX86" s="13">
        <f>G86*AP86</f>
        <v>0</v>
      </c>
      <c r="AY86" s="79" t="s">
        <v>823</v>
      </c>
      <c r="AZ86" s="79" t="s">
        <v>824</v>
      </c>
      <c r="BA86" s="30" t="s">
        <v>801</v>
      </c>
      <c r="BC86" s="13">
        <f>AW86+AX86</f>
        <v>0</v>
      </c>
      <c r="BD86" s="13">
        <f>H86/(100-BE86)*100</f>
        <v>0</v>
      </c>
      <c r="BE86" s="13">
        <v>0</v>
      </c>
      <c r="BF86" s="13">
        <f>86</f>
        <v>86</v>
      </c>
      <c r="BH86" s="13">
        <f>G86*AO86</f>
        <v>0</v>
      </c>
      <c r="BI86" s="13">
        <f>G86*AP86</f>
        <v>0</v>
      </c>
      <c r="BJ86" s="13">
        <f>G86*H86</f>
        <v>0</v>
      </c>
      <c r="BK86" s="13"/>
      <c r="BL86" s="13">
        <v>721</v>
      </c>
      <c r="BW86" s="13">
        <v>21</v>
      </c>
    </row>
    <row r="87" spans="1:75" ht="13.5" customHeight="1" x14ac:dyDescent="0.25">
      <c r="A87" s="1" t="s">
        <v>243</v>
      </c>
      <c r="B87" s="2" t="s">
        <v>26</v>
      </c>
      <c r="C87" s="2" t="s">
        <v>244</v>
      </c>
      <c r="D87" s="95" t="s">
        <v>245</v>
      </c>
      <c r="E87" s="88"/>
      <c r="F87" s="2" t="s">
        <v>202</v>
      </c>
      <c r="G87" s="13">
        <v>4</v>
      </c>
      <c r="H87" s="78">
        <v>0</v>
      </c>
      <c r="I87" s="13">
        <f>G87*H87</f>
        <v>0</v>
      </c>
      <c r="K87" s="34"/>
      <c r="Z87" s="13">
        <f>IF(AQ87="5",BJ87,0)</f>
        <v>0</v>
      </c>
      <c r="AB87" s="13">
        <f>IF(AQ87="1",BH87,0)</f>
        <v>0</v>
      </c>
      <c r="AC87" s="13">
        <f>IF(AQ87="1",BI87,0)</f>
        <v>0</v>
      </c>
      <c r="AD87" s="13">
        <f>IF(AQ87="7",BH87,0)</f>
        <v>0</v>
      </c>
      <c r="AE87" s="13">
        <f>IF(AQ87="7",BI87,0)</f>
        <v>0</v>
      </c>
      <c r="AF87" s="13">
        <f>IF(AQ87="2",BH87,0)</f>
        <v>0</v>
      </c>
      <c r="AG87" s="13">
        <f>IF(AQ87="2",BI87,0)</f>
        <v>0</v>
      </c>
      <c r="AH87" s="13">
        <f>IF(AQ87="0",BJ87,0)</f>
        <v>0</v>
      </c>
      <c r="AI87" s="30" t="s">
        <v>26</v>
      </c>
      <c r="AJ87" s="13">
        <f>IF(AN87=0,I87,0)</f>
        <v>0</v>
      </c>
      <c r="AK87" s="13">
        <f>IF(AN87=12,I87,0)</f>
        <v>0</v>
      </c>
      <c r="AL87" s="13">
        <f>IF(AN87=21,I87,0)</f>
        <v>0</v>
      </c>
      <c r="AN87" s="13">
        <v>21</v>
      </c>
      <c r="AO87" s="13">
        <f>H87*0.369393939</f>
        <v>0</v>
      </c>
      <c r="AP87" s="13">
        <f>H87*(1-0.369393939)</f>
        <v>0</v>
      </c>
      <c r="AQ87" s="79" t="s">
        <v>75</v>
      </c>
      <c r="AV87" s="13">
        <f>AW87+AX87</f>
        <v>0</v>
      </c>
      <c r="AW87" s="13">
        <f>G87*AO87</f>
        <v>0</v>
      </c>
      <c r="AX87" s="13">
        <f>G87*AP87</f>
        <v>0</v>
      </c>
      <c r="AY87" s="79" t="s">
        <v>823</v>
      </c>
      <c r="AZ87" s="79" t="s">
        <v>824</v>
      </c>
      <c r="BA87" s="30" t="s">
        <v>801</v>
      </c>
      <c r="BC87" s="13">
        <f>AW87+AX87</f>
        <v>0</v>
      </c>
      <c r="BD87" s="13">
        <f>H87/(100-BE87)*100</f>
        <v>0</v>
      </c>
      <c r="BE87" s="13">
        <v>0</v>
      </c>
      <c r="BF87" s="13">
        <f>87</f>
        <v>87</v>
      </c>
      <c r="BH87" s="13">
        <f>G87*AO87</f>
        <v>0</v>
      </c>
      <c r="BI87" s="13">
        <f>G87*AP87</f>
        <v>0</v>
      </c>
      <c r="BJ87" s="13">
        <f>G87*H87</f>
        <v>0</v>
      </c>
      <c r="BK87" s="13"/>
      <c r="BL87" s="13">
        <v>721</v>
      </c>
      <c r="BW87" s="13">
        <v>21</v>
      </c>
    </row>
    <row r="88" spans="1:75" ht="13.5" customHeight="1" x14ac:dyDescent="0.25">
      <c r="A88" s="1" t="s">
        <v>246</v>
      </c>
      <c r="B88" s="2" t="s">
        <v>26</v>
      </c>
      <c r="C88" s="2" t="s">
        <v>247</v>
      </c>
      <c r="D88" s="95" t="s">
        <v>248</v>
      </c>
      <c r="E88" s="88"/>
      <c r="F88" s="2" t="s">
        <v>231</v>
      </c>
      <c r="G88" s="13">
        <v>161.97</v>
      </c>
      <c r="H88" s="78">
        <v>0</v>
      </c>
      <c r="I88" s="13">
        <f>G88*H88</f>
        <v>0</v>
      </c>
      <c r="K88" s="34"/>
      <c r="Z88" s="13">
        <f>IF(AQ88="5",BJ88,0)</f>
        <v>0</v>
      </c>
      <c r="AB88" s="13">
        <f>IF(AQ88="1",BH88,0)</f>
        <v>0</v>
      </c>
      <c r="AC88" s="13">
        <f>IF(AQ88="1",BI88,0)</f>
        <v>0</v>
      </c>
      <c r="AD88" s="13">
        <f>IF(AQ88="7",BH88,0)</f>
        <v>0</v>
      </c>
      <c r="AE88" s="13">
        <f>IF(AQ88="7",BI88,0)</f>
        <v>0</v>
      </c>
      <c r="AF88" s="13">
        <f>IF(AQ88="2",BH88,0)</f>
        <v>0</v>
      </c>
      <c r="AG88" s="13">
        <f>IF(AQ88="2",BI88,0)</f>
        <v>0</v>
      </c>
      <c r="AH88" s="13">
        <f>IF(AQ88="0",BJ88,0)</f>
        <v>0</v>
      </c>
      <c r="AI88" s="30" t="s">
        <v>26</v>
      </c>
      <c r="AJ88" s="13">
        <f>IF(AN88=0,I88,0)</f>
        <v>0</v>
      </c>
      <c r="AK88" s="13">
        <f>IF(AN88=12,I88,0)</f>
        <v>0</v>
      </c>
      <c r="AL88" s="13">
        <f>IF(AN88=21,I88,0)</f>
        <v>0</v>
      </c>
      <c r="AN88" s="13">
        <v>21</v>
      </c>
      <c r="AO88" s="13">
        <f>H88*0</f>
        <v>0</v>
      </c>
      <c r="AP88" s="13">
        <f>H88*(1-0)</f>
        <v>0</v>
      </c>
      <c r="AQ88" s="79" t="s">
        <v>70</v>
      </c>
      <c r="AV88" s="13">
        <f>AW88+AX88</f>
        <v>0</v>
      </c>
      <c r="AW88" s="13">
        <f>G88*AO88</f>
        <v>0</v>
      </c>
      <c r="AX88" s="13">
        <f>G88*AP88</f>
        <v>0</v>
      </c>
      <c r="AY88" s="79" t="s">
        <v>823</v>
      </c>
      <c r="AZ88" s="79" t="s">
        <v>824</v>
      </c>
      <c r="BA88" s="30" t="s">
        <v>801</v>
      </c>
      <c r="BC88" s="13">
        <f>AW88+AX88</f>
        <v>0</v>
      </c>
      <c r="BD88" s="13">
        <f>H88/(100-BE88)*100</f>
        <v>0</v>
      </c>
      <c r="BE88" s="13">
        <v>0</v>
      </c>
      <c r="BF88" s="13">
        <f>88</f>
        <v>88</v>
      </c>
      <c r="BH88" s="13">
        <f>G88*AO88</f>
        <v>0</v>
      </c>
      <c r="BI88" s="13">
        <f>G88*AP88</f>
        <v>0</v>
      </c>
      <c r="BJ88" s="13">
        <f>G88*H88</f>
        <v>0</v>
      </c>
      <c r="BK88" s="13"/>
      <c r="BL88" s="13">
        <v>721</v>
      </c>
      <c r="BW88" s="13">
        <v>21</v>
      </c>
    </row>
    <row r="89" spans="1:75" x14ac:dyDescent="0.25">
      <c r="A89" s="75" t="s">
        <v>20</v>
      </c>
      <c r="B89" s="29" t="s">
        <v>26</v>
      </c>
      <c r="C89" s="29" t="s">
        <v>249</v>
      </c>
      <c r="D89" s="183" t="s">
        <v>250</v>
      </c>
      <c r="E89" s="112"/>
      <c r="F89" s="76" t="s">
        <v>13</v>
      </c>
      <c r="G89" s="76" t="s">
        <v>13</v>
      </c>
      <c r="H89" s="77" t="s">
        <v>13</v>
      </c>
      <c r="I89" s="61">
        <f>SUM(I90:I110)</f>
        <v>0</v>
      </c>
      <c r="K89" s="34"/>
      <c r="AI89" s="30" t="s">
        <v>26</v>
      </c>
      <c r="AS89" s="61">
        <f>SUM(AJ90:AJ110)</f>
        <v>0</v>
      </c>
      <c r="AT89" s="61">
        <f>SUM(AK90:AK110)</f>
        <v>0</v>
      </c>
      <c r="AU89" s="61">
        <f>SUM(AL90:AL110)</f>
        <v>0</v>
      </c>
    </row>
    <row r="90" spans="1:75" ht="13.5" customHeight="1" x14ac:dyDescent="0.25">
      <c r="A90" s="1" t="s">
        <v>251</v>
      </c>
      <c r="B90" s="2" t="s">
        <v>26</v>
      </c>
      <c r="C90" s="2" t="s">
        <v>252</v>
      </c>
      <c r="D90" s="95" t="s">
        <v>253</v>
      </c>
      <c r="E90" s="88"/>
      <c r="F90" s="2" t="s">
        <v>127</v>
      </c>
      <c r="G90" s="13">
        <v>33</v>
      </c>
      <c r="H90" s="78">
        <v>0</v>
      </c>
      <c r="I90" s="13">
        <f t="shared" ref="I90:I98" si="22">G90*H90</f>
        <v>0</v>
      </c>
      <c r="K90" s="34"/>
      <c r="Z90" s="13">
        <f t="shared" ref="Z90:Z98" si="23">IF(AQ90="5",BJ90,0)</f>
        <v>0</v>
      </c>
      <c r="AB90" s="13">
        <f t="shared" ref="AB90:AB98" si="24">IF(AQ90="1",BH90,0)</f>
        <v>0</v>
      </c>
      <c r="AC90" s="13">
        <f t="shared" ref="AC90:AC98" si="25">IF(AQ90="1",BI90,0)</f>
        <v>0</v>
      </c>
      <c r="AD90" s="13">
        <f t="shared" ref="AD90:AD98" si="26">IF(AQ90="7",BH90,0)</f>
        <v>0</v>
      </c>
      <c r="AE90" s="13">
        <f t="shared" ref="AE90:AE98" si="27">IF(AQ90="7",BI90,0)</f>
        <v>0</v>
      </c>
      <c r="AF90" s="13">
        <f t="shared" ref="AF90:AF98" si="28">IF(AQ90="2",BH90,0)</f>
        <v>0</v>
      </c>
      <c r="AG90" s="13">
        <f t="shared" ref="AG90:AG98" si="29">IF(AQ90="2",BI90,0)</f>
        <v>0</v>
      </c>
      <c r="AH90" s="13">
        <f t="shared" ref="AH90:AH98" si="30">IF(AQ90="0",BJ90,0)</f>
        <v>0</v>
      </c>
      <c r="AI90" s="30" t="s">
        <v>26</v>
      </c>
      <c r="AJ90" s="13">
        <f t="shared" ref="AJ90:AJ98" si="31">IF(AN90=0,I90,0)</f>
        <v>0</v>
      </c>
      <c r="AK90" s="13">
        <f t="shared" ref="AK90:AK98" si="32">IF(AN90=12,I90,0)</f>
        <v>0</v>
      </c>
      <c r="AL90" s="13">
        <f t="shared" ref="AL90:AL98" si="33">IF(AN90=21,I90,0)</f>
        <v>0</v>
      </c>
      <c r="AN90" s="13">
        <v>21</v>
      </c>
      <c r="AO90" s="13">
        <f>H90*0.462261146</f>
        <v>0</v>
      </c>
      <c r="AP90" s="13">
        <f>H90*(1-0.462261146)</f>
        <v>0</v>
      </c>
      <c r="AQ90" s="79" t="s">
        <v>75</v>
      </c>
      <c r="AV90" s="13">
        <f t="shared" ref="AV90:AV98" si="34">AW90+AX90</f>
        <v>0</v>
      </c>
      <c r="AW90" s="13">
        <f t="shared" ref="AW90:AW98" si="35">G90*AO90</f>
        <v>0</v>
      </c>
      <c r="AX90" s="13">
        <f t="shared" ref="AX90:AX98" si="36">G90*AP90</f>
        <v>0</v>
      </c>
      <c r="AY90" s="79" t="s">
        <v>825</v>
      </c>
      <c r="AZ90" s="79" t="s">
        <v>824</v>
      </c>
      <c r="BA90" s="30" t="s">
        <v>801</v>
      </c>
      <c r="BC90" s="13">
        <f t="shared" ref="BC90:BC98" si="37">AW90+AX90</f>
        <v>0</v>
      </c>
      <c r="BD90" s="13">
        <f t="shared" ref="BD90:BD98" si="38">H90/(100-BE90)*100</f>
        <v>0</v>
      </c>
      <c r="BE90" s="13">
        <v>0</v>
      </c>
      <c r="BF90" s="13">
        <f>90</f>
        <v>90</v>
      </c>
      <c r="BH90" s="13">
        <f t="shared" ref="BH90:BH98" si="39">G90*AO90</f>
        <v>0</v>
      </c>
      <c r="BI90" s="13">
        <f t="shared" ref="BI90:BI98" si="40">G90*AP90</f>
        <v>0</v>
      </c>
      <c r="BJ90" s="13">
        <f t="shared" ref="BJ90:BJ98" si="41">G90*H90</f>
        <v>0</v>
      </c>
      <c r="BK90" s="13"/>
      <c r="BL90" s="13">
        <v>722</v>
      </c>
      <c r="BW90" s="13">
        <v>21</v>
      </c>
    </row>
    <row r="91" spans="1:75" ht="13.5" customHeight="1" x14ac:dyDescent="0.25">
      <c r="A91" s="1" t="s">
        <v>254</v>
      </c>
      <c r="B91" s="2" t="s">
        <v>26</v>
      </c>
      <c r="C91" s="2" t="s">
        <v>255</v>
      </c>
      <c r="D91" s="95" t="s">
        <v>256</v>
      </c>
      <c r="E91" s="88"/>
      <c r="F91" s="2" t="s">
        <v>127</v>
      </c>
      <c r="G91" s="13">
        <v>38</v>
      </c>
      <c r="H91" s="78">
        <v>0</v>
      </c>
      <c r="I91" s="13">
        <f t="shared" si="22"/>
        <v>0</v>
      </c>
      <c r="K91" s="34"/>
      <c r="Z91" s="13">
        <f t="shared" si="23"/>
        <v>0</v>
      </c>
      <c r="AB91" s="13">
        <f t="shared" si="24"/>
        <v>0</v>
      </c>
      <c r="AC91" s="13">
        <f t="shared" si="25"/>
        <v>0</v>
      </c>
      <c r="AD91" s="13">
        <f t="shared" si="26"/>
        <v>0</v>
      </c>
      <c r="AE91" s="13">
        <f t="shared" si="27"/>
        <v>0</v>
      </c>
      <c r="AF91" s="13">
        <f t="shared" si="28"/>
        <v>0</v>
      </c>
      <c r="AG91" s="13">
        <f t="shared" si="29"/>
        <v>0</v>
      </c>
      <c r="AH91" s="13">
        <f t="shared" si="30"/>
        <v>0</v>
      </c>
      <c r="AI91" s="30" t="s">
        <v>26</v>
      </c>
      <c r="AJ91" s="13">
        <f t="shared" si="31"/>
        <v>0</v>
      </c>
      <c r="AK91" s="13">
        <f t="shared" si="32"/>
        <v>0</v>
      </c>
      <c r="AL91" s="13">
        <f t="shared" si="33"/>
        <v>0</v>
      </c>
      <c r="AN91" s="13">
        <v>21</v>
      </c>
      <c r="AO91" s="13">
        <f>H91*0.52802097</f>
        <v>0</v>
      </c>
      <c r="AP91" s="13">
        <f>H91*(1-0.52802097)</f>
        <v>0</v>
      </c>
      <c r="AQ91" s="79" t="s">
        <v>75</v>
      </c>
      <c r="AV91" s="13">
        <f t="shared" si="34"/>
        <v>0</v>
      </c>
      <c r="AW91" s="13">
        <f t="shared" si="35"/>
        <v>0</v>
      </c>
      <c r="AX91" s="13">
        <f t="shared" si="36"/>
        <v>0</v>
      </c>
      <c r="AY91" s="79" t="s">
        <v>825</v>
      </c>
      <c r="AZ91" s="79" t="s">
        <v>824</v>
      </c>
      <c r="BA91" s="30" t="s">
        <v>801</v>
      </c>
      <c r="BC91" s="13">
        <f t="shared" si="37"/>
        <v>0</v>
      </c>
      <c r="BD91" s="13">
        <f t="shared" si="38"/>
        <v>0</v>
      </c>
      <c r="BE91" s="13">
        <v>0</v>
      </c>
      <c r="BF91" s="13">
        <f>91</f>
        <v>91</v>
      </c>
      <c r="BH91" s="13">
        <f t="shared" si="39"/>
        <v>0</v>
      </c>
      <c r="BI91" s="13">
        <f t="shared" si="40"/>
        <v>0</v>
      </c>
      <c r="BJ91" s="13">
        <f t="shared" si="41"/>
        <v>0</v>
      </c>
      <c r="BK91" s="13"/>
      <c r="BL91" s="13">
        <v>722</v>
      </c>
      <c r="BW91" s="13">
        <v>21</v>
      </c>
    </row>
    <row r="92" spans="1:75" ht="13.5" customHeight="1" x14ac:dyDescent="0.25">
      <c r="A92" s="1" t="s">
        <v>257</v>
      </c>
      <c r="B92" s="2" t="s">
        <v>26</v>
      </c>
      <c r="C92" s="2" t="s">
        <v>258</v>
      </c>
      <c r="D92" s="95" t="s">
        <v>259</v>
      </c>
      <c r="E92" s="88"/>
      <c r="F92" s="2" t="s">
        <v>127</v>
      </c>
      <c r="G92" s="13">
        <v>7</v>
      </c>
      <c r="H92" s="78">
        <v>0</v>
      </c>
      <c r="I92" s="13">
        <f t="shared" si="22"/>
        <v>0</v>
      </c>
      <c r="K92" s="34"/>
      <c r="Z92" s="13">
        <f t="shared" si="23"/>
        <v>0</v>
      </c>
      <c r="AB92" s="13">
        <f t="shared" si="24"/>
        <v>0</v>
      </c>
      <c r="AC92" s="13">
        <f t="shared" si="25"/>
        <v>0</v>
      </c>
      <c r="AD92" s="13">
        <f t="shared" si="26"/>
        <v>0</v>
      </c>
      <c r="AE92" s="13">
        <f t="shared" si="27"/>
        <v>0</v>
      </c>
      <c r="AF92" s="13">
        <f t="shared" si="28"/>
        <v>0</v>
      </c>
      <c r="AG92" s="13">
        <f t="shared" si="29"/>
        <v>0</v>
      </c>
      <c r="AH92" s="13">
        <f t="shared" si="30"/>
        <v>0</v>
      </c>
      <c r="AI92" s="30" t="s">
        <v>26</v>
      </c>
      <c r="AJ92" s="13">
        <f t="shared" si="31"/>
        <v>0</v>
      </c>
      <c r="AK92" s="13">
        <f t="shared" si="32"/>
        <v>0</v>
      </c>
      <c r="AL92" s="13">
        <f t="shared" si="33"/>
        <v>0</v>
      </c>
      <c r="AN92" s="13">
        <v>21</v>
      </c>
      <c r="AO92" s="13">
        <f>H92*0.606078431</f>
        <v>0</v>
      </c>
      <c r="AP92" s="13">
        <f>H92*(1-0.606078431)</f>
        <v>0</v>
      </c>
      <c r="AQ92" s="79" t="s">
        <v>75</v>
      </c>
      <c r="AV92" s="13">
        <f t="shared" si="34"/>
        <v>0</v>
      </c>
      <c r="AW92" s="13">
        <f t="shared" si="35"/>
        <v>0</v>
      </c>
      <c r="AX92" s="13">
        <f t="shared" si="36"/>
        <v>0</v>
      </c>
      <c r="AY92" s="79" t="s">
        <v>825</v>
      </c>
      <c r="AZ92" s="79" t="s">
        <v>824</v>
      </c>
      <c r="BA92" s="30" t="s">
        <v>801</v>
      </c>
      <c r="BC92" s="13">
        <f t="shared" si="37"/>
        <v>0</v>
      </c>
      <c r="BD92" s="13">
        <f t="shared" si="38"/>
        <v>0</v>
      </c>
      <c r="BE92" s="13">
        <v>0</v>
      </c>
      <c r="BF92" s="13">
        <f>92</f>
        <v>92</v>
      </c>
      <c r="BH92" s="13">
        <f t="shared" si="39"/>
        <v>0</v>
      </c>
      <c r="BI92" s="13">
        <f t="shared" si="40"/>
        <v>0</v>
      </c>
      <c r="BJ92" s="13">
        <f t="shared" si="41"/>
        <v>0</v>
      </c>
      <c r="BK92" s="13"/>
      <c r="BL92" s="13">
        <v>722</v>
      </c>
      <c r="BW92" s="13">
        <v>21</v>
      </c>
    </row>
    <row r="93" spans="1:75" ht="13.5" customHeight="1" x14ac:dyDescent="0.25">
      <c r="A93" s="1" t="s">
        <v>260</v>
      </c>
      <c r="B93" s="2" t="s">
        <v>26</v>
      </c>
      <c r="C93" s="2" t="s">
        <v>261</v>
      </c>
      <c r="D93" s="95" t="s">
        <v>262</v>
      </c>
      <c r="E93" s="88"/>
      <c r="F93" s="2" t="s">
        <v>107</v>
      </c>
      <c r="G93" s="13">
        <v>15</v>
      </c>
      <c r="H93" s="78">
        <v>0</v>
      </c>
      <c r="I93" s="13">
        <f t="shared" si="22"/>
        <v>0</v>
      </c>
      <c r="K93" s="34"/>
      <c r="Z93" s="13">
        <f t="shared" si="23"/>
        <v>0</v>
      </c>
      <c r="AB93" s="13">
        <f t="shared" si="24"/>
        <v>0</v>
      </c>
      <c r="AC93" s="13">
        <f t="shared" si="25"/>
        <v>0</v>
      </c>
      <c r="AD93" s="13">
        <f t="shared" si="26"/>
        <v>0</v>
      </c>
      <c r="AE93" s="13">
        <f t="shared" si="27"/>
        <v>0</v>
      </c>
      <c r="AF93" s="13">
        <f t="shared" si="28"/>
        <v>0</v>
      </c>
      <c r="AG93" s="13">
        <f t="shared" si="29"/>
        <v>0</v>
      </c>
      <c r="AH93" s="13">
        <f t="shared" si="30"/>
        <v>0</v>
      </c>
      <c r="AI93" s="30" t="s">
        <v>26</v>
      </c>
      <c r="AJ93" s="13">
        <f t="shared" si="31"/>
        <v>0</v>
      </c>
      <c r="AK93" s="13">
        <f t="shared" si="32"/>
        <v>0</v>
      </c>
      <c r="AL93" s="13">
        <f t="shared" si="33"/>
        <v>0</v>
      </c>
      <c r="AN93" s="13">
        <v>21</v>
      </c>
      <c r="AO93" s="13">
        <f>H93*0</f>
        <v>0</v>
      </c>
      <c r="AP93" s="13">
        <f>H93*(1-0)</f>
        <v>0</v>
      </c>
      <c r="AQ93" s="79" t="s">
        <v>75</v>
      </c>
      <c r="AV93" s="13">
        <f t="shared" si="34"/>
        <v>0</v>
      </c>
      <c r="AW93" s="13">
        <f t="shared" si="35"/>
        <v>0</v>
      </c>
      <c r="AX93" s="13">
        <f t="shared" si="36"/>
        <v>0</v>
      </c>
      <c r="AY93" s="79" t="s">
        <v>825</v>
      </c>
      <c r="AZ93" s="79" t="s">
        <v>824</v>
      </c>
      <c r="BA93" s="30" t="s">
        <v>801</v>
      </c>
      <c r="BC93" s="13">
        <f t="shared" si="37"/>
        <v>0</v>
      </c>
      <c r="BD93" s="13">
        <f t="shared" si="38"/>
        <v>0</v>
      </c>
      <c r="BE93" s="13">
        <v>0</v>
      </c>
      <c r="BF93" s="13">
        <f>93</f>
        <v>93</v>
      </c>
      <c r="BH93" s="13">
        <f t="shared" si="39"/>
        <v>0</v>
      </c>
      <c r="BI93" s="13">
        <f t="shared" si="40"/>
        <v>0</v>
      </c>
      <c r="BJ93" s="13">
        <f t="shared" si="41"/>
        <v>0</v>
      </c>
      <c r="BK93" s="13"/>
      <c r="BL93" s="13">
        <v>722</v>
      </c>
      <c r="BW93" s="13">
        <v>21</v>
      </c>
    </row>
    <row r="94" spans="1:75" ht="13.5" customHeight="1" x14ac:dyDescent="0.25">
      <c r="A94" s="1" t="s">
        <v>263</v>
      </c>
      <c r="B94" s="2" t="s">
        <v>26</v>
      </c>
      <c r="C94" s="2" t="s">
        <v>264</v>
      </c>
      <c r="D94" s="95" t="s">
        <v>265</v>
      </c>
      <c r="E94" s="88"/>
      <c r="F94" s="2" t="s">
        <v>107</v>
      </c>
      <c r="G94" s="13">
        <v>4</v>
      </c>
      <c r="H94" s="78">
        <v>0</v>
      </c>
      <c r="I94" s="13">
        <f t="shared" si="22"/>
        <v>0</v>
      </c>
      <c r="K94" s="34"/>
      <c r="Z94" s="13">
        <f t="shared" si="23"/>
        <v>0</v>
      </c>
      <c r="AB94" s="13">
        <f t="shared" si="24"/>
        <v>0</v>
      </c>
      <c r="AC94" s="13">
        <f t="shared" si="25"/>
        <v>0</v>
      </c>
      <c r="AD94" s="13">
        <f t="shared" si="26"/>
        <v>0</v>
      </c>
      <c r="AE94" s="13">
        <f t="shared" si="27"/>
        <v>0</v>
      </c>
      <c r="AF94" s="13">
        <f t="shared" si="28"/>
        <v>0</v>
      </c>
      <c r="AG94" s="13">
        <f t="shared" si="29"/>
        <v>0</v>
      </c>
      <c r="AH94" s="13">
        <f t="shared" si="30"/>
        <v>0</v>
      </c>
      <c r="AI94" s="30" t="s">
        <v>26</v>
      </c>
      <c r="AJ94" s="13">
        <f t="shared" si="31"/>
        <v>0</v>
      </c>
      <c r="AK94" s="13">
        <f t="shared" si="32"/>
        <v>0</v>
      </c>
      <c r="AL94" s="13">
        <f t="shared" si="33"/>
        <v>0</v>
      </c>
      <c r="AN94" s="13">
        <v>21</v>
      </c>
      <c r="AO94" s="13">
        <f>H94*0.807129485</f>
        <v>0</v>
      </c>
      <c r="AP94" s="13">
        <f>H94*(1-0.807129485)</f>
        <v>0</v>
      </c>
      <c r="AQ94" s="79" t="s">
        <v>75</v>
      </c>
      <c r="AV94" s="13">
        <f t="shared" si="34"/>
        <v>0</v>
      </c>
      <c r="AW94" s="13">
        <f t="shared" si="35"/>
        <v>0</v>
      </c>
      <c r="AX94" s="13">
        <f t="shared" si="36"/>
        <v>0</v>
      </c>
      <c r="AY94" s="79" t="s">
        <v>825</v>
      </c>
      <c r="AZ94" s="79" t="s">
        <v>824</v>
      </c>
      <c r="BA94" s="30" t="s">
        <v>801</v>
      </c>
      <c r="BC94" s="13">
        <f t="shared" si="37"/>
        <v>0</v>
      </c>
      <c r="BD94" s="13">
        <f t="shared" si="38"/>
        <v>0</v>
      </c>
      <c r="BE94" s="13">
        <v>0</v>
      </c>
      <c r="BF94" s="13">
        <f>94</f>
        <v>94</v>
      </c>
      <c r="BH94" s="13">
        <f t="shared" si="39"/>
        <v>0</v>
      </c>
      <c r="BI94" s="13">
        <f t="shared" si="40"/>
        <v>0</v>
      </c>
      <c r="BJ94" s="13">
        <f t="shared" si="41"/>
        <v>0</v>
      </c>
      <c r="BK94" s="13"/>
      <c r="BL94" s="13">
        <v>722</v>
      </c>
      <c r="BW94" s="13">
        <v>21</v>
      </c>
    </row>
    <row r="95" spans="1:75" ht="13.5" customHeight="1" x14ac:dyDescent="0.25">
      <c r="A95" s="1" t="s">
        <v>266</v>
      </c>
      <c r="B95" s="2" t="s">
        <v>26</v>
      </c>
      <c r="C95" s="2" t="s">
        <v>267</v>
      </c>
      <c r="D95" s="95" t="s">
        <v>268</v>
      </c>
      <c r="E95" s="88"/>
      <c r="F95" s="2" t="s">
        <v>107</v>
      </c>
      <c r="G95" s="13">
        <v>1</v>
      </c>
      <c r="H95" s="78">
        <v>0</v>
      </c>
      <c r="I95" s="13">
        <f t="shared" si="22"/>
        <v>0</v>
      </c>
      <c r="K95" s="34"/>
      <c r="Z95" s="13">
        <f t="shared" si="23"/>
        <v>0</v>
      </c>
      <c r="AB95" s="13">
        <f t="shared" si="24"/>
        <v>0</v>
      </c>
      <c r="AC95" s="13">
        <f t="shared" si="25"/>
        <v>0</v>
      </c>
      <c r="AD95" s="13">
        <f t="shared" si="26"/>
        <v>0</v>
      </c>
      <c r="AE95" s="13">
        <f t="shared" si="27"/>
        <v>0</v>
      </c>
      <c r="AF95" s="13">
        <f t="shared" si="28"/>
        <v>0</v>
      </c>
      <c r="AG95" s="13">
        <f t="shared" si="29"/>
        <v>0</v>
      </c>
      <c r="AH95" s="13">
        <f t="shared" si="30"/>
        <v>0</v>
      </c>
      <c r="AI95" s="30" t="s">
        <v>26</v>
      </c>
      <c r="AJ95" s="13">
        <f t="shared" si="31"/>
        <v>0</v>
      </c>
      <c r="AK95" s="13">
        <f t="shared" si="32"/>
        <v>0</v>
      </c>
      <c r="AL95" s="13">
        <f t="shared" si="33"/>
        <v>0</v>
      </c>
      <c r="AN95" s="13">
        <v>21</v>
      </c>
      <c r="AO95" s="13">
        <f>H95*0.73740113</f>
        <v>0</v>
      </c>
      <c r="AP95" s="13">
        <f>H95*(1-0.73740113)</f>
        <v>0</v>
      </c>
      <c r="AQ95" s="79" t="s">
        <v>75</v>
      </c>
      <c r="AV95" s="13">
        <f t="shared" si="34"/>
        <v>0</v>
      </c>
      <c r="AW95" s="13">
        <f t="shared" si="35"/>
        <v>0</v>
      </c>
      <c r="AX95" s="13">
        <f t="shared" si="36"/>
        <v>0</v>
      </c>
      <c r="AY95" s="79" t="s">
        <v>825</v>
      </c>
      <c r="AZ95" s="79" t="s">
        <v>824</v>
      </c>
      <c r="BA95" s="30" t="s">
        <v>801</v>
      </c>
      <c r="BC95" s="13">
        <f t="shared" si="37"/>
        <v>0</v>
      </c>
      <c r="BD95" s="13">
        <f t="shared" si="38"/>
        <v>0</v>
      </c>
      <c r="BE95" s="13">
        <v>0</v>
      </c>
      <c r="BF95" s="13">
        <f>95</f>
        <v>95</v>
      </c>
      <c r="BH95" s="13">
        <f t="shared" si="39"/>
        <v>0</v>
      </c>
      <c r="BI95" s="13">
        <f t="shared" si="40"/>
        <v>0</v>
      </c>
      <c r="BJ95" s="13">
        <f t="shared" si="41"/>
        <v>0</v>
      </c>
      <c r="BK95" s="13"/>
      <c r="BL95" s="13">
        <v>722</v>
      </c>
      <c r="BW95" s="13">
        <v>21</v>
      </c>
    </row>
    <row r="96" spans="1:75" ht="13.5" customHeight="1" x14ac:dyDescent="0.25">
      <c r="A96" s="1" t="s">
        <v>269</v>
      </c>
      <c r="B96" s="2" t="s">
        <v>26</v>
      </c>
      <c r="C96" s="2" t="s">
        <v>270</v>
      </c>
      <c r="D96" s="95" t="s">
        <v>271</v>
      </c>
      <c r="E96" s="88"/>
      <c r="F96" s="2" t="s">
        <v>107</v>
      </c>
      <c r="G96" s="13">
        <v>1</v>
      </c>
      <c r="H96" s="78">
        <v>0</v>
      </c>
      <c r="I96" s="13">
        <f t="shared" si="22"/>
        <v>0</v>
      </c>
      <c r="K96" s="34"/>
      <c r="Z96" s="13">
        <f t="shared" si="23"/>
        <v>0</v>
      </c>
      <c r="AB96" s="13">
        <f t="shared" si="24"/>
        <v>0</v>
      </c>
      <c r="AC96" s="13">
        <f t="shared" si="25"/>
        <v>0</v>
      </c>
      <c r="AD96" s="13">
        <f t="shared" si="26"/>
        <v>0</v>
      </c>
      <c r="AE96" s="13">
        <f t="shared" si="27"/>
        <v>0</v>
      </c>
      <c r="AF96" s="13">
        <f t="shared" si="28"/>
        <v>0</v>
      </c>
      <c r="AG96" s="13">
        <f t="shared" si="29"/>
        <v>0</v>
      </c>
      <c r="AH96" s="13">
        <f t="shared" si="30"/>
        <v>0</v>
      </c>
      <c r="AI96" s="30" t="s">
        <v>26</v>
      </c>
      <c r="AJ96" s="13">
        <f t="shared" si="31"/>
        <v>0</v>
      </c>
      <c r="AK96" s="13">
        <f t="shared" si="32"/>
        <v>0</v>
      </c>
      <c r="AL96" s="13">
        <f t="shared" si="33"/>
        <v>0</v>
      </c>
      <c r="AN96" s="13">
        <v>21</v>
      </c>
      <c r="AO96" s="13">
        <f>H96*0.767689243</f>
        <v>0</v>
      </c>
      <c r="AP96" s="13">
        <f>H96*(1-0.767689243)</f>
        <v>0</v>
      </c>
      <c r="AQ96" s="79" t="s">
        <v>75</v>
      </c>
      <c r="AV96" s="13">
        <f t="shared" si="34"/>
        <v>0</v>
      </c>
      <c r="AW96" s="13">
        <f t="shared" si="35"/>
        <v>0</v>
      </c>
      <c r="AX96" s="13">
        <f t="shared" si="36"/>
        <v>0</v>
      </c>
      <c r="AY96" s="79" t="s">
        <v>825</v>
      </c>
      <c r="AZ96" s="79" t="s">
        <v>824</v>
      </c>
      <c r="BA96" s="30" t="s">
        <v>801</v>
      </c>
      <c r="BC96" s="13">
        <f t="shared" si="37"/>
        <v>0</v>
      </c>
      <c r="BD96" s="13">
        <f t="shared" si="38"/>
        <v>0</v>
      </c>
      <c r="BE96" s="13">
        <v>0</v>
      </c>
      <c r="BF96" s="13">
        <f>96</f>
        <v>96</v>
      </c>
      <c r="BH96" s="13">
        <f t="shared" si="39"/>
        <v>0</v>
      </c>
      <c r="BI96" s="13">
        <f t="shared" si="40"/>
        <v>0</v>
      </c>
      <c r="BJ96" s="13">
        <f t="shared" si="41"/>
        <v>0</v>
      </c>
      <c r="BK96" s="13"/>
      <c r="BL96" s="13">
        <v>722</v>
      </c>
      <c r="BW96" s="13">
        <v>21</v>
      </c>
    </row>
    <row r="97" spans="1:75" ht="13.5" customHeight="1" x14ac:dyDescent="0.25">
      <c r="A97" s="1" t="s">
        <v>272</v>
      </c>
      <c r="B97" s="2" t="s">
        <v>26</v>
      </c>
      <c r="C97" s="2" t="s">
        <v>273</v>
      </c>
      <c r="D97" s="95" t="s">
        <v>274</v>
      </c>
      <c r="E97" s="88"/>
      <c r="F97" s="2" t="s">
        <v>107</v>
      </c>
      <c r="G97" s="13">
        <v>1</v>
      </c>
      <c r="H97" s="78">
        <v>0</v>
      </c>
      <c r="I97" s="13">
        <f t="shared" si="22"/>
        <v>0</v>
      </c>
      <c r="K97" s="34"/>
      <c r="Z97" s="13">
        <f t="shared" si="23"/>
        <v>0</v>
      </c>
      <c r="AB97" s="13">
        <f t="shared" si="24"/>
        <v>0</v>
      </c>
      <c r="AC97" s="13">
        <f t="shared" si="25"/>
        <v>0</v>
      </c>
      <c r="AD97" s="13">
        <f t="shared" si="26"/>
        <v>0</v>
      </c>
      <c r="AE97" s="13">
        <f t="shared" si="27"/>
        <v>0</v>
      </c>
      <c r="AF97" s="13">
        <f t="shared" si="28"/>
        <v>0</v>
      </c>
      <c r="AG97" s="13">
        <f t="shared" si="29"/>
        <v>0</v>
      </c>
      <c r="AH97" s="13">
        <f t="shared" si="30"/>
        <v>0</v>
      </c>
      <c r="AI97" s="30" t="s">
        <v>26</v>
      </c>
      <c r="AJ97" s="13">
        <f t="shared" si="31"/>
        <v>0</v>
      </c>
      <c r="AK97" s="13">
        <f t="shared" si="32"/>
        <v>0</v>
      </c>
      <c r="AL97" s="13">
        <f t="shared" si="33"/>
        <v>0</v>
      </c>
      <c r="AN97" s="13">
        <v>21</v>
      </c>
      <c r="AO97" s="13">
        <f>H97*0.768179551</f>
        <v>0</v>
      </c>
      <c r="AP97" s="13">
        <f>H97*(1-0.768179551)</f>
        <v>0</v>
      </c>
      <c r="AQ97" s="79" t="s">
        <v>75</v>
      </c>
      <c r="AV97" s="13">
        <f t="shared" si="34"/>
        <v>0</v>
      </c>
      <c r="AW97" s="13">
        <f t="shared" si="35"/>
        <v>0</v>
      </c>
      <c r="AX97" s="13">
        <f t="shared" si="36"/>
        <v>0</v>
      </c>
      <c r="AY97" s="79" t="s">
        <v>825</v>
      </c>
      <c r="AZ97" s="79" t="s">
        <v>824</v>
      </c>
      <c r="BA97" s="30" t="s">
        <v>801</v>
      </c>
      <c r="BC97" s="13">
        <f t="shared" si="37"/>
        <v>0</v>
      </c>
      <c r="BD97" s="13">
        <f t="shared" si="38"/>
        <v>0</v>
      </c>
      <c r="BE97" s="13">
        <v>0</v>
      </c>
      <c r="BF97" s="13">
        <f>97</f>
        <v>97</v>
      </c>
      <c r="BH97" s="13">
        <f t="shared" si="39"/>
        <v>0</v>
      </c>
      <c r="BI97" s="13">
        <f t="shared" si="40"/>
        <v>0</v>
      </c>
      <c r="BJ97" s="13">
        <f t="shared" si="41"/>
        <v>0</v>
      </c>
      <c r="BK97" s="13"/>
      <c r="BL97" s="13">
        <v>722</v>
      </c>
      <c r="BW97" s="13">
        <v>21</v>
      </c>
    </row>
    <row r="98" spans="1:75" ht="13.5" customHeight="1" x14ac:dyDescent="0.25">
      <c r="A98" s="1" t="s">
        <v>275</v>
      </c>
      <c r="B98" s="2" t="s">
        <v>26</v>
      </c>
      <c r="C98" s="2" t="s">
        <v>276</v>
      </c>
      <c r="D98" s="95" t="s">
        <v>277</v>
      </c>
      <c r="E98" s="88"/>
      <c r="F98" s="2" t="s">
        <v>127</v>
      </c>
      <c r="G98" s="13">
        <v>33</v>
      </c>
      <c r="H98" s="78">
        <v>0</v>
      </c>
      <c r="I98" s="13">
        <f t="shared" si="22"/>
        <v>0</v>
      </c>
      <c r="K98" s="34"/>
      <c r="Z98" s="13">
        <f t="shared" si="23"/>
        <v>0</v>
      </c>
      <c r="AB98" s="13">
        <f t="shared" si="24"/>
        <v>0</v>
      </c>
      <c r="AC98" s="13">
        <f t="shared" si="25"/>
        <v>0</v>
      </c>
      <c r="AD98" s="13">
        <f t="shared" si="26"/>
        <v>0</v>
      </c>
      <c r="AE98" s="13">
        <f t="shared" si="27"/>
        <v>0</v>
      </c>
      <c r="AF98" s="13">
        <f t="shared" si="28"/>
        <v>0</v>
      </c>
      <c r="AG98" s="13">
        <f t="shared" si="29"/>
        <v>0</v>
      </c>
      <c r="AH98" s="13">
        <f t="shared" si="30"/>
        <v>0</v>
      </c>
      <c r="AI98" s="30" t="s">
        <v>26</v>
      </c>
      <c r="AJ98" s="13">
        <f t="shared" si="31"/>
        <v>0</v>
      </c>
      <c r="AK98" s="13">
        <f t="shared" si="32"/>
        <v>0</v>
      </c>
      <c r="AL98" s="13">
        <f t="shared" si="33"/>
        <v>0</v>
      </c>
      <c r="AN98" s="13">
        <v>21</v>
      </c>
      <c r="AO98" s="13">
        <f>H98*0.18389033</f>
        <v>0</v>
      </c>
      <c r="AP98" s="13">
        <f>H98*(1-0.18389033)</f>
        <v>0</v>
      </c>
      <c r="AQ98" s="79" t="s">
        <v>75</v>
      </c>
      <c r="AV98" s="13">
        <f t="shared" si="34"/>
        <v>0</v>
      </c>
      <c r="AW98" s="13">
        <f t="shared" si="35"/>
        <v>0</v>
      </c>
      <c r="AX98" s="13">
        <f t="shared" si="36"/>
        <v>0</v>
      </c>
      <c r="AY98" s="79" t="s">
        <v>825</v>
      </c>
      <c r="AZ98" s="79" t="s">
        <v>824</v>
      </c>
      <c r="BA98" s="30" t="s">
        <v>801</v>
      </c>
      <c r="BC98" s="13">
        <f t="shared" si="37"/>
        <v>0</v>
      </c>
      <c r="BD98" s="13">
        <f t="shared" si="38"/>
        <v>0</v>
      </c>
      <c r="BE98" s="13">
        <v>0</v>
      </c>
      <c r="BF98" s="13">
        <f>98</f>
        <v>98</v>
      </c>
      <c r="BH98" s="13">
        <f t="shared" si="39"/>
        <v>0</v>
      </c>
      <c r="BI98" s="13">
        <f t="shared" si="40"/>
        <v>0</v>
      </c>
      <c r="BJ98" s="13">
        <f t="shared" si="41"/>
        <v>0</v>
      </c>
      <c r="BK98" s="13"/>
      <c r="BL98" s="13">
        <v>722</v>
      </c>
      <c r="BW98" s="13">
        <v>21</v>
      </c>
    </row>
    <row r="99" spans="1:75" ht="13.5" customHeight="1" x14ac:dyDescent="0.25">
      <c r="A99" s="32"/>
      <c r="C99" s="80" t="s">
        <v>802</v>
      </c>
      <c r="D99" s="113" t="s">
        <v>826</v>
      </c>
      <c r="E99" s="114"/>
      <c r="F99" s="114"/>
      <c r="G99" s="114"/>
      <c r="H99" s="184"/>
      <c r="I99" s="114"/>
      <c r="J99" s="114"/>
      <c r="K99" s="185"/>
    </row>
    <row r="100" spans="1:75" ht="13.5" customHeight="1" x14ac:dyDescent="0.25">
      <c r="A100" s="1" t="s">
        <v>278</v>
      </c>
      <c r="B100" s="2" t="s">
        <v>26</v>
      </c>
      <c r="C100" s="2" t="s">
        <v>279</v>
      </c>
      <c r="D100" s="95" t="s">
        <v>277</v>
      </c>
      <c r="E100" s="88"/>
      <c r="F100" s="2" t="s">
        <v>127</v>
      </c>
      <c r="G100" s="13">
        <v>38</v>
      </c>
      <c r="H100" s="78">
        <v>0</v>
      </c>
      <c r="I100" s="13">
        <f>G100*H100</f>
        <v>0</v>
      </c>
      <c r="K100" s="34"/>
      <c r="Z100" s="13">
        <f>IF(AQ100="5",BJ100,0)</f>
        <v>0</v>
      </c>
      <c r="AB100" s="13">
        <f>IF(AQ100="1",BH100,0)</f>
        <v>0</v>
      </c>
      <c r="AC100" s="13">
        <f>IF(AQ100="1",BI100,0)</f>
        <v>0</v>
      </c>
      <c r="AD100" s="13">
        <f>IF(AQ100="7",BH100,0)</f>
        <v>0</v>
      </c>
      <c r="AE100" s="13">
        <f>IF(AQ100="7",BI100,0)</f>
        <v>0</v>
      </c>
      <c r="AF100" s="13">
        <f>IF(AQ100="2",BH100,0)</f>
        <v>0</v>
      </c>
      <c r="AG100" s="13">
        <f>IF(AQ100="2",BI100,0)</f>
        <v>0</v>
      </c>
      <c r="AH100" s="13">
        <f>IF(AQ100="0",BJ100,0)</f>
        <v>0</v>
      </c>
      <c r="AI100" s="30" t="s">
        <v>26</v>
      </c>
      <c r="AJ100" s="13">
        <f>IF(AN100=0,I100,0)</f>
        <v>0</v>
      </c>
      <c r="AK100" s="13">
        <f>IF(AN100=12,I100,0)</f>
        <v>0</v>
      </c>
      <c r="AL100" s="13">
        <f>IF(AN100=21,I100,0)</f>
        <v>0</v>
      </c>
      <c r="AN100" s="13">
        <v>21</v>
      </c>
      <c r="AO100" s="13">
        <f>H100*0.207186228</f>
        <v>0</v>
      </c>
      <c r="AP100" s="13">
        <f>H100*(1-0.207186228)</f>
        <v>0</v>
      </c>
      <c r="AQ100" s="79" t="s">
        <v>75</v>
      </c>
      <c r="AV100" s="13">
        <f>AW100+AX100</f>
        <v>0</v>
      </c>
      <c r="AW100" s="13">
        <f>G100*AO100</f>
        <v>0</v>
      </c>
      <c r="AX100" s="13">
        <f>G100*AP100</f>
        <v>0</v>
      </c>
      <c r="AY100" s="79" t="s">
        <v>825</v>
      </c>
      <c r="AZ100" s="79" t="s">
        <v>824</v>
      </c>
      <c r="BA100" s="30" t="s">
        <v>801</v>
      </c>
      <c r="BC100" s="13">
        <f>AW100+AX100</f>
        <v>0</v>
      </c>
      <c r="BD100" s="13">
        <f>H100/(100-BE100)*100</f>
        <v>0</v>
      </c>
      <c r="BE100" s="13">
        <v>0</v>
      </c>
      <c r="BF100" s="13">
        <f>100</f>
        <v>100</v>
      </c>
      <c r="BH100" s="13">
        <f>G100*AO100</f>
        <v>0</v>
      </c>
      <c r="BI100" s="13">
        <f>G100*AP100</f>
        <v>0</v>
      </c>
      <c r="BJ100" s="13">
        <f>G100*H100</f>
        <v>0</v>
      </c>
      <c r="BK100" s="13"/>
      <c r="BL100" s="13">
        <v>722</v>
      </c>
      <c r="BW100" s="13">
        <v>21</v>
      </c>
    </row>
    <row r="101" spans="1:75" ht="13.5" customHeight="1" x14ac:dyDescent="0.25">
      <c r="A101" s="32"/>
      <c r="C101" s="80" t="s">
        <v>802</v>
      </c>
      <c r="D101" s="113" t="s">
        <v>827</v>
      </c>
      <c r="E101" s="114"/>
      <c r="F101" s="114"/>
      <c r="G101" s="114"/>
      <c r="H101" s="184"/>
      <c r="I101" s="114"/>
      <c r="J101" s="114"/>
      <c r="K101" s="185"/>
    </row>
    <row r="102" spans="1:75" ht="13.5" customHeight="1" x14ac:dyDescent="0.25">
      <c r="A102" s="1" t="s">
        <v>144</v>
      </c>
      <c r="B102" s="2" t="s">
        <v>26</v>
      </c>
      <c r="C102" s="2" t="s">
        <v>280</v>
      </c>
      <c r="D102" s="95" t="s">
        <v>277</v>
      </c>
      <c r="E102" s="88"/>
      <c r="F102" s="2" t="s">
        <v>127</v>
      </c>
      <c r="G102" s="13">
        <v>7</v>
      </c>
      <c r="H102" s="78">
        <v>0</v>
      </c>
      <c r="I102" s="13">
        <f>G102*H102</f>
        <v>0</v>
      </c>
      <c r="K102" s="34"/>
      <c r="Z102" s="13">
        <f>IF(AQ102="5",BJ102,0)</f>
        <v>0</v>
      </c>
      <c r="AB102" s="13">
        <f>IF(AQ102="1",BH102,0)</f>
        <v>0</v>
      </c>
      <c r="AC102" s="13">
        <f>IF(AQ102="1",BI102,0)</f>
        <v>0</v>
      </c>
      <c r="AD102" s="13">
        <f>IF(AQ102="7",BH102,0)</f>
        <v>0</v>
      </c>
      <c r="AE102" s="13">
        <f>IF(AQ102="7",BI102,0)</f>
        <v>0</v>
      </c>
      <c r="AF102" s="13">
        <f>IF(AQ102="2",BH102,0)</f>
        <v>0</v>
      </c>
      <c r="AG102" s="13">
        <f>IF(AQ102="2",BI102,0)</f>
        <v>0</v>
      </c>
      <c r="AH102" s="13">
        <f>IF(AQ102="0",BJ102,0)</f>
        <v>0</v>
      </c>
      <c r="AI102" s="30" t="s">
        <v>26</v>
      </c>
      <c r="AJ102" s="13">
        <f>IF(AN102=0,I102,0)</f>
        <v>0</v>
      </c>
      <c r="AK102" s="13">
        <f>IF(AN102=12,I102,0)</f>
        <v>0</v>
      </c>
      <c r="AL102" s="13">
        <f>IF(AN102=21,I102,0)</f>
        <v>0</v>
      </c>
      <c r="AN102" s="13">
        <v>21</v>
      </c>
      <c r="AO102" s="13">
        <f>H102*0.212572741</f>
        <v>0</v>
      </c>
      <c r="AP102" s="13">
        <f>H102*(1-0.212572741)</f>
        <v>0</v>
      </c>
      <c r="AQ102" s="79" t="s">
        <v>75</v>
      </c>
      <c r="AV102" s="13">
        <f>AW102+AX102</f>
        <v>0</v>
      </c>
      <c r="AW102" s="13">
        <f>G102*AO102</f>
        <v>0</v>
      </c>
      <c r="AX102" s="13">
        <f>G102*AP102</f>
        <v>0</v>
      </c>
      <c r="AY102" s="79" t="s">
        <v>825</v>
      </c>
      <c r="AZ102" s="79" t="s">
        <v>824</v>
      </c>
      <c r="BA102" s="30" t="s">
        <v>801</v>
      </c>
      <c r="BC102" s="13">
        <f>AW102+AX102</f>
        <v>0</v>
      </c>
      <c r="BD102" s="13">
        <f>H102/(100-BE102)*100</f>
        <v>0</v>
      </c>
      <c r="BE102" s="13">
        <v>0</v>
      </c>
      <c r="BF102" s="13">
        <f>102</f>
        <v>102</v>
      </c>
      <c r="BH102" s="13">
        <f>G102*AO102</f>
        <v>0</v>
      </c>
      <c r="BI102" s="13">
        <f>G102*AP102</f>
        <v>0</v>
      </c>
      <c r="BJ102" s="13">
        <f>G102*H102</f>
        <v>0</v>
      </c>
      <c r="BK102" s="13"/>
      <c r="BL102" s="13">
        <v>722</v>
      </c>
      <c r="BW102" s="13">
        <v>21</v>
      </c>
    </row>
    <row r="103" spans="1:75" ht="13.5" customHeight="1" x14ac:dyDescent="0.25">
      <c r="A103" s="32"/>
      <c r="C103" s="80" t="s">
        <v>802</v>
      </c>
      <c r="D103" s="113" t="s">
        <v>828</v>
      </c>
      <c r="E103" s="114"/>
      <c r="F103" s="114"/>
      <c r="G103" s="114"/>
      <c r="H103" s="184"/>
      <c r="I103" s="114"/>
      <c r="J103" s="114"/>
      <c r="K103" s="185"/>
    </row>
    <row r="104" spans="1:75" ht="13.5" customHeight="1" x14ac:dyDescent="0.25">
      <c r="A104" s="1" t="s">
        <v>154</v>
      </c>
      <c r="B104" s="2" t="s">
        <v>26</v>
      </c>
      <c r="C104" s="2" t="s">
        <v>281</v>
      </c>
      <c r="D104" s="95" t="s">
        <v>282</v>
      </c>
      <c r="E104" s="88"/>
      <c r="F104" s="2" t="s">
        <v>283</v>
      </c>
      <c r="G104" s="13">
        <v>6</v>
      </c>
      <c r="H104" s="78">
        <v>0</v>
      </c>
      <c r="I104" s="13">
        <f>G104*H104</f>
        <v>0</v>
      </c>
      <c r="K104" s="34"/>
      <c r="Z104" s="13">
        <f>IF(AQ104="5",BJ104,0)</f>
        <v>0</v>
      </c>
      <c r="AB104" s="13">
        <f>IF(AQ104="1",BH104,0)</f>
        <v>0</v>
      </c>
      <c r="AC104" s="13">
        <f>IF(AQ104="1",BI104,0)</f>
        <v>0</v>
      </c>
      <c r="AD104" s="13">
        <f>IF(AQ104="7",BH104,0)</f>
        <v>0</v>
      </c>
      <c r="AE104" s="13">
        <f>IF(AQ104="7",BI104,0)</f>
        <v>0</v>
      </c>
      <c r="AF104" s="13">
        <f>IF(AQ104="2",BH104,0)</f>
        <v>0</v>
      </c>
      <c r="AG104" s="13">
        <f>IF(AQ104="2",BI104,0)</f>
        <v>0</v>
      </c>
      <c r="AH104" s="13">
        <f>IF(AQ104="0",BJ104,0)</f>
        <v>0</v>
      </c>
      <c r="AI104" s="30" t="s">
        <v>26</v>
      </c>
      <c r="AJ104" s="13">
        <f>IF(AN104=0,I104,0)</f>
        <v>0</v>
      </c>
      <c r="AK104" s="13">
        <f>IF(AN104=12,I104,0)</f>
        <v>0</v>
      </c>
      <c r="AL104" s="13">
        <f>IF(AN104=21,I104,0)</f>
        <v>0</v>
      </c>
      <c r="AN104" s="13">
        <v>21</v>
      </c>
      <c r="AO104" s="13">
        <f>H104*0</f>
        <v>0</v>
      </c>
      <c r="AP104" s="13">
        <f>H104*(1-0)</f>
        <v>0</v>
      </c>
      <c r="AQ104" s="79" t="s">
        <v>75</v>
      </c>
      <c r="AV104" s="13">
        <f>AW104+AX104</f>
        <v>0</v>
      </c>
      <c r="AW104" s="13">
        <f>G104*AO104</f>
        <v>0</v>
      </c>
      <c r="AX104" s="13">
        <f>G104*AP104</f>
        <v>0</v>
      </c>
      <c r="AY104" s="79" t="s">
        <v>825</v>
      </c>
      <c r="AZ104" s="79" t="s">
        <v>824</v>
      </c>
      <c r="BA104" s="30" t="s">
        <v>801</v>
      </c>
      <c r="BC104" s="13">
        <f>AW104+AX104</f>
        <v>0</v>
      </c>
      <c r="BD104" s="13">
        <f>H104/(100-BE104)*100</f>
        <v>0</v>
      </c>
      <c r="BE104" s="13">
        <v>0</v>
      </c>
      <c r="BF104" s="13">
        <f>104</f>
        <v>104</v>
      </c>
      <c r="BH104" s="13">
        <f>G104*AO104</f>
        <v>0</v>
      </c>
      <c r="BI104" s="13">
        <f>G104*AP104</f>
        <v>0</v>
      </c>
      <c r="BJ104" s="13">
        <f>G104*H104</f>
        <v>0</v>
      </c>
      <c r="BK104" s="13"/>
      <c r="BL104" s="13">
        <v>722</v>
      </c>
      <c r="BW104" s="13">
        <v>21</v>
      </c>
    </row>
    <row r="105" spans="1:75" ht="13.5" customHeight="1" x14ac:dyDescent="0.25">
      <c r="A105" s="32"/>
      <c r="C105" s="80" t="s">
        <v>802</v>
      </c>
      <c r="D105" s="113" t="s">
        <v>829</v>
      </c>
      <c r="E105" s="114"/>
      <c r="F105" s="114"/>
      <c r="G105" s="114"/>
      <c r="H105" s="184"/>
      <c r="I105" s="114"/>
      <c r="J105" s="114"/>
      <c r="K105" s="185"/>
    </row>
    <row r="106" spans="1:75" ht="13.5" customHeight="1" x14ac:dyDescent="0.25">
      <c r="A106" s="1" t="s">
        <v>170</v>
      </c>
      <c r="B106" s="2" t="s">
        <v>26</v>
      </c>
      <c r="C106" s="2" t="s">
        <v>284</v>
      </c>
      <c r="D106" s="95" t="s">
        <v>285</v>
      </c>
      <c r="E106" s="88"/>
      <c r="F106" s="2" t="s">
        <v>127</v>
      </c>
      <c r="G106" s="13">
        <v>78</v>
      </c>
      <c r="H106" s="78">
        <v>0</v>
      </c>
      <c r="I106" s="13">
        <f>G106*H106</f>
        <v>0</v>
      </c>
      <c r="K106" s="34"/>
      <c r="Z106" s="13">
        <f>IF(AQ106="5",BJ106,0)</f>
        <v>0</v>
      </c>
      <c r="AB106" s="13">
        <f>IF(AQ106="1",BH106,0)</f>
        <v>0</v>
      </c>
      <c r="AC106" s="13">
        <f>IF(AQ106="1",BI106,0)</f>
        <v>0</v>
      </c>
      <c r="AD106" s="13">
        <f>IF(AQ106="7",BH106,0)</f>
        <v>0</v>
      </c>
      <c r="AE106" s="13">
        <f>IF(AQ106="7",BI106,0)</f>
        <v>0</v>
      </c>
      <c r="AF106" s="13">
        <f>IF(AQ106="2",BH106,0)</f>
        <v>0</v>
      </c>
      <c r="AG106" s="13">
        <f>IF(AQ106="2",BI106,0)</f>
        <v>0</v>
      </c>
      <c r="AH106" s="13">
        <f>IF(AQ106="0",BJ106,0)</f>
        <v>0</v>
      </c>
      <c r="AI106" s="30" t="s">
        <v>26</v>
      </c>
      <c r="AJ106" s="13">
        <f>IF(AN106=0,I106,0)</f>
        <v>0</v>
      </c>
      <c r="AK106" s="13">
        <f>IF(AN106=12,I106,0)</f>
        <v>0</v>
      </c>
      <c r="AL106" s="13">
        <f>IF(AN106=21,I106,0)</f>
        <v>0</v>
      </c>
      <c r="AN106" s="13">
        <v>21</v>
      </c>
      <c r="AO106" s="13">
        <f>H106*0.015660232</f>
        <v>0</v>
      </c>
      <c r="AP106" s="13">
        <f>H106*(1-0.015660232)</f>
        <v>0</v>
      </c>
      <c r="AQ106" s="79" t="s">
        <v>75</v>
      </c>
      <c r="AV106" s="13">
        <f>AW106+AX106</f>
        <v>0</v>
      </c>
      <c r="AW106" s="13">
        <f>G106*AO106</f>
        <v>0</v>
      </c>
      <c r="AX106" s="13">
        <f>G106*AP106</f>
        <v>0</v>
      </c>
      <c r="AY106" s="79" t="s">
        <v>825</v>
      </c>
      <c r="AZ106" s="79" t="s">
        <v>824</v>
      </c>
      <c r="BA106" s="30" t="s">
        <v>801</v>
      </c>
      <c r="BC106" s="13">
        <f>AW106+AX106</f>
        <v>0</v>
      </c>
      <c r="BD106" s="13">
        <f>H106/(100-BE106)*100</f>
        <v>0</v>
      </c>
      <c r="BE106" s="13">
        <v>0</v>
      </c>
      <c r="BF106" s="13">
        <f>106</f>
        <v>106</v>
      </c>
      <c r="BH106" s="13">
        <f>G106*AO106</f>
        <v>0</v>
      </c>
      <c r="BI106" s="13">
        <f>G106*AP106</f>
        <v>0</v>
      </c>
      <c r="BJ106" s="13">
        <f>G106*H106</f>
        <v>0</v>
      </c>
      <c r="BK106" s="13"/>
      <c r="BL106" s="13">
        <v>722</v>
      </c>
      <c r="BW106" s="13">
        <v>21</v>
      </c>
    </row>
    <row r="107" spans="1:75" ht="13.5" customHeight="1" x14ac:dyDescent="0.25">
      <c r="A107" s="1" t="s">
        <v>176</v>
      </c>
      <c r="B107" s="2" t="s">
        <v>26</v>
      </c>
      <c r="C107" s="2" t="s">
        <v>287</v>
      </c>
      <c r="D107" s="95" t="s">
        <v>288</v>
      </c>
      <c r="E107" s="88"/>
      <c r="F107" s="2" t="s">
        <v>127</v>
      </c>
      <c r="G107" s="13">
        <v>78</v>
      </c>
      <c r="H107" s="78">
        <v>0</v>
      </c>
      <c r="I107" s="13">
        <f>G107*H107</f>
        <v>0</v>
      </c>
      <c r="K107" s="34"/>
      <c r="Z107" s="13">
        <f>IF(AQ107="5",BJ107,0)</f>
        <v>0</v>
      </c>
      <c r="AB107" s="13">
        <f>IF(AQ107="1",BH107,0)</f>
        <v>0</v>
      </c>
      <c r="AC107" s="13">
        <f>IF(AQ107="1",BI107,0)</f>
        <v>0</v>
      </c>
      <c r="AD107" s="13">
        <f>IF(AQ107="7",BH107,0)</f>
        <v>0</v>
      </c>
      <c r="AE107" s="13">
        <f>IF(AQ107="7",BI107,0)</f>
        <v>0</v>
      </c>
      <c r="AF107" s="13">
        <f>IF(AQ107="2",BH107,0)</f>
        <v>0</v>
      </c>
      <c r="AG107" s="13">
        <f>IF(AQ107="2",BI107,0)</f>
        <v>0</v>
      </c>
      <c r="AH107" s="13">
        <f>IF(AQ107="0",BJ107,0)</f>
        <v>0</v>
      </c>
      <c r="AI107" s="30" t="s">
        <v>26</v>
      </c>
      <c r="AJ107" s="13">
        <f>IF(AN107=0,I107,0)</f>
        <v>0</v>
      </c>
      <c r="AK107" s="13">
        <f>IF(AN107=12,I107,0)</f>
        <v>0</v>
      </c>
      <c r="AL107" s="13">
        <f>IF(AN107=21,I107,0)</f>
        <v>0</v>
      </c>
      <c r="AN107" s="13">
        <v>21</v>
      </c>
      <c r="AO107" s="13">
        <f>H107*0.005820896</f>
        <v>0</v>
      </c>
      <c r="AP107" s="13">
        <f>H107*(1-0.005820896)</f>
        <v>0</v>
      </c>
      <c r="AQ107" s="79" t="s">
        <v>75</v>
      </c>
      <c r="AV107" s="13">
        <f>AW107+AX107</f>
        <v>0</v>
      </c>
      <c r="AW107" s="13">
        <f>G107*AO107</f>
        <v>0</v>
      </c>
      <c r="AX107" s="13">
        <f>G107*AP107</f>
        <v>0</v>
      </c>
      <c r="AY107" s="79" t="s">
        <v>825</v>
      </c>
      <c r="AZ107" s="79" t="s">
        <v>824</v>
      </c>
      <c r="BA107" s="30" t="s">
        <v>801</v>
      </c>
      <c r="BC107" s="13">
        <f>AW107+AX107</f>
        <v>0</v>
      </c>
      <c r="BD107" s="13">
        <f>H107/(100-BE107)*100</f>
        <v>0</v>
      </c>
      <c r="BE107" s="13">
        <v>0</v>
      </c>
      <c r="BF107" s="13">
        <f>107</f>
        <v>107</v>
      </c>
      <c r="BH107" s="13">
        <f>G107*AO107</f>
        <v>0</v>
      </c>
      <c r="BI107" s="13">
        <f>G107*AP107</f>
        <v>0</v>
      </c>
      <c r="BJ107" s="13">
        <f>G107*H107</f>
        <v>0</v>
      </c>
      <c r="BK107" s="13"/>
      <c r="BL107" s="13">
        <v>722</v>
      </c>
      <c r="BW107" s="13">
        <v>21</v>
      </c>
    </row>
    <row r="108" spans="1:75" ht="13.5" customHeight="1" x14ac:dyDescent="0.25">
      <c r="A108" s="1" t="s">
        <v>203</v>
      </c>
      <c r="B108" s="2" t="s">
        <v>26</v>
      </c>
      <c r="C108" s="2" t="s">
        <v>289</v>
      </c>
      <c r="D108" s="95" t="s">
        <v>290</v>
      </c>
      <c r="E108" s="88"/>
      <c r="F108" s="2" t="s">
        <v>61</v>
      </c>
      <c r="G108" s="13">
        <v>1</v>
      </c>
      <c r="H108" s="78">
        <v>0</v>
      </c>
      <c r="I108" s="13">
        <f>G108*H108</f>
        <v>0</v>
      </c>
      <c r="K108" s="34"/>
      <c r="Z108" s="13">
        <f>IF(AQ108="5",BJ108,0)</f>
        <v>0</v>
      </c>
      <c r="AB108" s="13">
        <f>IF(AQ108="1",BH108,0)</f>
        <v>0</v>
      </c>
      <c r="AC108" s="13">
        <f>IF(AQ108="1",BI108,0)</f>
        <v>0</v>
      </c>
      <c r="AD108" s="13">
        <f>IF(AQ108="7",BH108,0)</f>
        <v>0</v>
      </c>
      <c r="AE108" s="13">
        <f>IF(AQ108="7",BI108,0)</f>
        <v>0</v>
      </c>
      <c r="AF108" s="13">
        <f>IF(AQ108="2",BH108,0)</f>
        <v>0</v>
      </c>
      <c r="AG108" s="13">
        <f>IF(AQ108="2",BI108,0)</f>
        <v>0</v>
      </c>
      <c r="AH108" s="13">
        <f>IF(AQ108="0",BJ108,0)</f>
        <v>0</v>
      </c>
      <c r="AI108" s="30" t="s">
        <v>26</v>
      </c>
      <c r="AJ108" s="13">
        <f>IF(AN108=0,I108,0)</f>
        <v>0</v>
      </c>
      <c r="AK108" s="13">
        <f>IF(AN108=12,I108,0)</f>
        <v>0</v>
      </c>
      <c r="AL108" s="13">
        <f>IF(AN108=21,I108,0)</f>
        <v>0</v>
      </c>
      <c r="AN108" s="13">
        <v>21</v>
      </c>
      <c r="AO108" s="13">
        <f>H108*0.005662381</f>
        <v>0</v>
      </c>
      <c r="AP108" s="13">
        <f>H108*(1-0.005662381)</f>
        <v>0</v>
      </c>
      <c r="AQ108" s="79" t="s">
        <v>75</v>
      </c>
      <c r="AV108" s="13">
        <f>AW108+AX108</f>
        <v>0</v>
      </c>
      <c r="AW108" s="13">
        <f>G108*AO108</f>
        <v>0</v>
      </c>
      <c r="AX108" s="13">
        <f>G108*AP108</f>
        <v>0</v>
      </c>
      <c r="AY108" s="79" t="s">
        <v>825</v>
      </c>
      <c r="AZ108" s="79" t="s">
        <v>824</v>
      </c>
      <c r="BA108" s="30" t="s">
        <v>801</v>
      </c>
      <c r="BC108" s="13">
        <f>AW108+AX108</f>
        <v>0</v>
      </c>
      <c r="BD108" s="13">
        <f>H108/(100-BE108)*100</f>
        <v>0</v>
      </c>
      <c r="BE108" s="13">
        <v>0</v>
      </c>
      <c r="BF108" s="13">
        <f>108</f>
        <v>108</v>
      </c>
      <c r="BH108" s="13">
        <f>G108*AO108</f>
        <v>0</v>
      </c>
      <c r="BI108" s="13">
        <f>G108*AP108</f>
        <v>0</v>
      </c>
      <c r="BJ108" s="13">
        <f>G108*H108</f>
        <v>0</v>
      </c>
      <c r="BK108" s="13"/>
      <c r="BL108" s="13">
        <v>722</v>
      </c>
      <c r="BW108" s="13">
        <v>21</v>
      </c>
    </row>
    <row r="109" spans="1:75" ht="67.5" customHeight="1" x14ac:dyDescent="0.25">
      <c r="A109" s="32"/>
      <c r="C109" s="80" t="s">
        <v>49</v>
      </c>
      <c r="D109" s="113" t="s">
        <v>291</v>
      </c>
      <c r="E109" s="114"/>
      <c r="F109" s="114"/>
      <c r="G109" s="114"/>
      <c r="H109" s="184"/>
      <c r="I109" s="114"/>
      <c r="J109" s="114"/>
      <c r="K109" s="185"/>
    </row>
    <row r="110" spans="1:75" ht="13.5" customHeight="1" x14ac:dyDescent="0.25">
      <c r="A110" s="1" t="s">
        <v>292</v>
      </c>
      <c r="B110" s="2" t="s">
        <v>26</v>
      </c>
      <c r="C110" s="2" t="s">
        <v>293</v>
      </c>
      <c r="D110" s="95" t="s">
        <v>294</v>
      </c>
      <c r="E110" s="88"/>
      <c r="F110" s="2" t="s">
        <v>231</v>
      </c>
      <c r="G110" s="13">
        <v>639.33000000000004</v>
      </c>
      <c r="H110" s="78">
        <v>0</v>
      </c>
      <c r="I110" s="13">
        <f>G110*H110</f>
        <v>0</v>
      </c>
      <c r="K110" s="34"/>
      <c r="Z110" s="13">
        <f>IF(AQ110="5",BJ110,0)</f>
        <v>0</v>
      </c>
      <c r="AB110" s="13">
        <f>IF(AQ110="1",BH110,0)</f>
        <v>0</v>
      </c>
      <c r="AC110" s="13">
        <f>IF(AQ110="1",BI110,0)</f>
        <v>0</v>
      </c>
      <c r="AD110" s="13">
        <f>IF(AQ110="7",BH110,0)</f>
        <v>0</v>
      </c>
      <c r="AE110" s="13">
        <f>IF(AQ110="7",BI110,0)</f>
        <v>0</v>
      </c>
      <c r="AF110" s="13">
        <f>IF(AQ110="2",BH110,0)</f>
        <v>0</v>
      </c>
      <c r="AG110" s="13">
        <f>IF(AQ110="2",BI110,0)</f>
        <v>0</v>
      </c>
      <c r="AH110" s="13">
        <f>IF(AQ110="0",BJ110,0)</f>
        <v>0</v>
      </c>
      <c r="AI110" s="30" t="s">
        <v>26</v>
      </c>
      <c r="AJ110" s="13">
        <f>IF(AN110=0,I110,0)</f>
        <v>0</v>
      </c>
      <c r="AK110" s="13">
        <f>IF(AN110=12,I110,0)</f>
        <v>0</v>
      </c>
      <c r="AL110" s="13">
        <f>IF(AN110=21,I110,0)</f>
        <v>0</v>
      </c>
      <c r="AN110" s="13">
        <v>21</v>
      </c>
      <c r="AO110" s="13">
        <f>H110*0</f>
        <v>0</v>
      </c>
      <c r="AP110" s="13">
        <f>H110*(1-0)</f>
        <v>0</v>
      </c>
      <c r="AQ110" s="79" t="s">
        <v>70</v>
      </c>
      <c r="AV110" s="13">
        <f>AW110+AX110</f>
        <v>0</v>
      </c>
      <c r="AW110" s="13">
        <f>G110*AO110</f>
        <v>0</v>
      </c>
      <c r="AX110" s="13">
        <f>G110*AP110</f>
        <v>0</v>
      </c>
      <c r="AY110" s="79" t="s">
        <v>825</v>
      </c>
      <c r="AZ110" s="79" t="s">
        <v>824</v>
      </c>
      <c r="BA110" s="30" t="s">
        <v>801</v>
      </c>
      <c r="BC110" s="13">
        <f>AW110+AX110</f>
        <v>0</v>
      </c>
      <c r="BD110" s="13">
        <f>H110/(100-BE110)*100</f>
        <v>0</v>
      </c>
      <c r="BE110" s="13">
        <v>0</v>
      </c>
      <c r="BF110" s="13">
        <f>110</f>
        <v>110</v>
      </c>
      <c r="BH110" s="13">
        <f>G110*AO110</f>
        <v>0</v>
      </c>
      <c r="BI110" s="13">
        <f>G110*AP110</f>
        <v>0</v>
      </c>
      <c r="BJ110" s="13">
        <f>G110*H110</f>
        <v>0</v>
      </c>
      <c r="BK110" s="13"/>
      <c r="BL110" s="13">
        <v>722</v>
      </c>
      <c r="BW110" s="13">
        <v>21</v>
      </c>
    </row>
    <row r="111" spans="1:75" x14ac:dyDescent="0.25">
      <c r="A111" s="75" t="s">
        <v>20</v>
      </c>
      <c r="B111" s="29" t="s">
        <v>26</v>
      </c>
      <c r="C111" s="29" t="s">
        <v>295</v>
      </c>
      <c r="D111" s="183" t="s">
        <v>296</v>
      </c>
      <c r="E111" s="112"/>
      <c r="F111" s="76" t="s">
        <v>13</v>
      </c>
      <c r="G111" s="76" t="s">
        <v>13</v>
      </c>
      <c r="H111" s="77" t="s">
        <v>13</v>
      </c>
      <c r="I111" s="61">
        <f>SUM(I112:I136)</f>
        <v>0</v>
      </c>
      <c r="K111" s="34"/>
      <c r="AI111" s="30" t="s">
        <v>26</v>
      </c>
      <c r="AS111" s="61">
        <f>SUM(AJ112:AJ136)</f>
        <v>0</v>
      </c>
      <c r="AT111" s="61">
        <f>SUM(AK112:AK136)</f>
        <v>0</v>
      </c>
      <c r="AU111" s="61">
        <f>SUM(AL112:AL136)</f>
        <v>0</v>
      </c>
    </row>
    <row r="112" spans="1:75" ht="13.5" customHeight="1" x14ac:dyDescent="0.25">
      <c r="A112" s="1" t="s">
        <v>297</v>
      </c>
      <c r="B112" s="2" t="s">
        <v>26</v>
      </c>
      <c r="C112" s="2" t="s">
        <v>298</v>
      </c>
      <c r="D112" s="95" t="s">
        <v>299</v>
      </c>
      <c r="E112" s="88"/>
      <c r="F112" s="2" t="s">
        <v>107</v>
      </c>
      <c r="G112" s="13">
        <v>3</v>
      </c>
      <c r="H112" s="78">
        <v>0</v>
      </c>
      <c r="I112" s="13">
        <f>G112*H112</f>
        <v>0</v>
      </c>
      <c r="K112" s="34"/>
      <c r="Z112" s="13">
        <f>IF(AQ112="5",BJ112,0)</f>
        <v>0</v>
      </c>
      <c r="AB112" s="13">
        <f>IF(AQ112="1",BH112,0)</f>
        <v>0</v>
      </c>
      <c r="AC112" s="13">
        <f>IF(AQ112="1",BI112,0)</f>
        <v>0</v>
      </c>
      <c r="AD112" s="13">
        <f>IF(AQ112="7",BH112,0)</f>
        <v>0</v>
      </c>
      <c r="AE112" s="13">
        <f>IF(AQ112="7",BI112,0)</f>
        <v>0</v>
      </c>
      <c r="AF112" s="13">
        <f>IF(AQ112="2",BH112,0)</f>
        <v>0</v>
      </c>
      <c r="AG112" s="13">
        <f>IF(AQ112="2",BI112,0)</f>
        <v>0</v>
      </c>
      <c r="AH112" s="13">
        <f>IF(AQ112="0",BJ112,0)</f>
        <v>0</v>
      </c>
      <c r="AI112" s="30" t="s">
        <v>26</v>
      </c>
      <c r="AJ112" s="13">
        <f>IF(AN112=0,I112,0)</f>
        <v>0</v>
      </c>
      <c r="AK112" s="13">
        <f>IF(AN112=12,I112,0)</f>
        <v>0</v>
      </c>
      <c r="AL112" s="13">
        <f>IF(AN112=21,I112,0)</f>
        <v>0</v>
      </c>
      <c r="AN112" s="13">
        <v>21</v>
      </c>
      <c r="AO112" s="13">
        <f>H112*0</f>
        <v>0</v>
      </c>
      <c r="AP112" s="13">
        <f>H112*(1-0)</f>
        <v>0</v>
      </c>
      <c r="AQ112" s="79" t="s">
        <v>75</v>
      </c>
      <c r="AV112" s="13">
        <f>AW112+AX112</f>
        <v>0</v>
      </c>
      <c r="AW112" s="13">
        <f>G112*AO112</f>
        <v>0</v>
      </c>
      <c r="AX112" s="13">
        <f>G112*AP112</f>
        <v>0</v>
      </c>
      <c r="AY112" s="79" t="s">
        <v>830</v>
      </c>
      <c r="AZ112" s="79" t="s">
        <v>824</v>
      </c>
      <c r="BA112" s="30" t="s">
        <v>801</v>
      </c>
      <c r="BC112" s="13">
        <f>AW112+AX112</f>
        <v>0</v>
      </c>
      <c r="BD112" s="13">
        <f>H112/(100-BE112)*100</f>
        <v>0</v>
      </c>
      <c r="BE112" s="13">
        <v>0</v>
      </c>
      <c r="BF112" s="13">
        <f>112</f>
        <v>112</v>
      </c>
      <c r="BH112" s="13">
        <f>G112*AO112</f>
        <v>0</v>
      </c>
      <c r="BI112" s="13">
        <f>G112*AP112</f>
        <v>0</v>
      </c>
      <c r="BJ112" s="13">
        <f>G112*H112</f>
        <v>0</v>
      </c>
      <c r="BK112" s="13"/>
      <c r="BL112" s="13">
        <v>725</v>
      </c>
      <c r="BW112" s="13">
        <v>21</v>
      </c>
    </row>
    <row r="113" spans="1:75" ht="13.5" customHeight="1" x14ac:dyDescent="0.25">
      <c r="A113" s="1" t="s">
        <v>300</v>
      </c>
      <c r="B113" s="2" t="s">
        <v>26</v>
      </c>
      <c r="C113" s="2" t="s">
        <v>301</v>
      </c>
      <c r="D113" s="95" t="s">
        <v>302</v>
      </c>
      <c r="E113" s="88"/>
      <c r="F113" s="2" t="s">
        <v>107</v>
      </c>
      <c r="G113" s="13">
        <v>3</v>
      </c>
      <c r="H113" s="78">
        <v>0</v>
      </c>
      <c r="I113" s="13">
        <f>G113*H113</f>
        <v>0</v>
      </c>
      <c r="K113" s="34"/>
      <c r="Z113" s="13">
        <f>IF(AQ113="5",BJ113,0)</f>
        <v>0</v>
      </c>
      <c r="AB113" s="13">
        <f>IF(AQ113="1",BH113,0)</f>
        <v>0</v>
      </c>
      <c r="AC113" s="13">
        <f>IF(AQ113="1",BI113,0)</f>
        <v>0</v>
      </c>
      <c r="AD113" s="13">
        <f>IF(AQ113="7",BH113,0)</f>
        <v>0</v>
      </c>
      <c r="AE113" s="13">
        <f>IF(AQ113="7",BI113,0)</f>
        <v>0</v>
      </c>
      <c r="AF113" s="13">
        <f>IF(AQ113="2",BH113,0)</f>
        <v>0</v>
      </c>
      <c r="AG113" s="13">
        <f>IF(AQ113="2",BI113,0)</f>
        <v>0</v>
      </c>
      <c r="AH113" s="13">
        <f>IF(AQ113="0",BJ113,0)</f>
        <v>0</v>
      </c>
      <c r="AI113" s="30" t="s">
        <v>26</v>
      </c>
      <c r="AJ113" s="13">
        <f>IF(AN113=0,I113,0)</f>
        <v>0</v>
      </c>
      <c r="AK113" s="13">
        <f>IF(AN113=12,I113,0)</f>
        <v>0</v>
      </c>
      <c r="AL113" s="13">
        <f>IF(AN113=21,I113,0)</f>
        <v>0</v>
      </c>
      <c r="AN113" s="13">
        <v>21</v>
      </c>
      <c r="AO113" s="13">
        <f>H113*0</f>
        <v>0</v>
      </c>
      <c r="AP113" s="13">
        <f>H113*(1-0)</f>
        <v>0</v>
      </c>
      <c r="AQ113" s="79" t="s">
        <v>75</v>
      </c>
      <c r="AV113" s="13">
        <f>AW113+AX113</f>
        <v>0</v>
      </c>
      <c r="AW113" s="13">
        <f>G113*AO113</f>
        <v>0</v>
      </c>
      <c r="AX113" s="13">
        <f>G113*AP113</f>
        <v>0</v>
      </c>
      <c r="AY113" s="79" t="s">
        <v>830</v>
      </c>
      <c r="AZ113" s="79" t="s">
        <v>824</v>
      </c>
      <c r="BA113" s="30" t="s">
        <v>801</v>
      </c>
      <c r="BC113" s="13">
        <f>AW113+AX113</f>
        <v>0</v>
      </c>
      <c r="BD113" s="13">
        <f>H113/(100-BE113)*100</f>
        <v>0</v>
      </c>
      <c r="BE113" s="13">
        <v>0</v>
      </c>
      <c r="BF113" s="13">
        <f>113</f>
        <v>113</v>
      </c>
      <c r="BH113" s="13">
        <f>G113*AO113</f>
        <v>0</v>
      </c>
      <c r="BI113" s="13">
        <f>G113*AP113</f>
        <v>0</v>
      </c>
      <c r="BJ113" s="13">
        <f>G113*H113</f>
        <v>0</v>
      </c>
      <c r="BK113" s="13"/>
      <c r="BL113" s="13">
        <v>725</v>
      </c>
      <c r="BW113" s="13">
        <v>21</v>
      </c>
    </row>
    <row r="114" spans="1:75" ht="13.5" customHeight="1" x14ac:dyDescent="0.25">
      <c r="A114" s="1" t="s">
        <v>303</v>
      </c>
      <c r="B114" s="2" t="s">
        <v>26</v>
      </c>
      <c r="C114" s="2" t="s">
        <v>304</v>
      </c>
      <c r="D114" s="95" t="s">
        <v>305</v>
      </c>
      <c r="E114" s="88"/>
      <c r="F114" s="2" t="s">
        <v>107</v>
      </c>
      <c r="G114" s="13">
        <v>2</v>
      </c>
      <c r="H114" s="78">
        <v>0</v>
      </c>
      <c r="I114" s="13">
        <f>G114*H114</f>
        <v>0</v>
      </c>
      <c r="K114" s="34"/>
      <c r="Z114" s="13">
        <f>IF(AQ114="5",BJ114,0)</f>
        <v>0</v>
      </c>
      <c r="AB114" s="13">
        <f>IF(AQ114="1",BH114,0)</f>
        <v>0</v>
      </c>
      <c r="AC114" s="13">
        <f>IF(AQ114="1",BI114,0)</f>
        <v>0</v>
      </c>
      <c r="AD114" s="13">
        <f>IF(AQ114="7",BH114,0)</f>
        <v>0</v>
      </c>
      <c r="AE114" s="13">
        <f>IF(AQ114="7",BI114,0)</f>
        <v>0</v>
      </c>
      <c r="AF114" s="13">
        <f>IF(AQ114="2",BH114,0)</f>
        <v>0</v>
      </c>
      <c r="AG114" s="13">
        <f>IF(AQ114="2",BI114,0)</f>
        <v>0</v>
      </c>
      <c r="AH114" s="13">
        <f>IF(AQ114="0",BJ114,0)</f>
        <v>0</v>
      </c>
      <c r="AI114" s="30" t="s">
        <v>26</v>
      </c>
      <c r="AJ114" s="13">
        <f>IF(AN114=0,I114,0)</f>
        <v>0</v>
      </c>
      <c r="AK114" s="13">
        <f>IF(AN114=12,I114,0)</f>
        <v>0</v>
      </c>
      <c r="AL114" s="13">
        <f>IF(AN114=21,I114,0)</f>
        <v>0</v>
      </c>
      <c r="AN114" s="13">
        <v>21</v>
      </c>
      <c r="AO114" s="13">
        <f>H114*0.896182195</f>
        <v>0</v>
      </c>
      <c r="AP114" s="13">
        <f>H114*(1-0.896182195)</f>
        <v>0</v>
      </c>
      <c r="AQ114" s="79" t="s">
        <v>75</v>
      </c>
      <c r="AV114" s="13">
        <f>AW114+AX114</f>
        <v>0</v>
      </c>
      <c r="AW114" s="13">
        <f>G114*AO114</f>
        <v>0</v>
      </c>
      <c r="AX114" s="13">
        <f>G114*AP114</f>
        <v>0</v>
      </c>
      <c r="AY114" s="79" t="s">
        <v>830</v>
      </c>
      <c r="AZ114" s="79" t="s">
        <v>824</v>
      </c>
      <c r="BA114" s="30" t="s">
        <v>801</v>
      </c>
      <c r="BC114" s="13">
        <f>AW114+AX114</f>
        <v>0</v>
      </c>
      <c r="BD114" s="13">
        <f>H114/(100-BE114)*100</f>
        <v>0</v>
      </c>
      <c r="BE114" s="13">
        <v>0</v>
      </c>
      <c r="BF114" s="13">
        <f>114</f>
        <v>114</v>
      </c>
      <c r="BH114" s="13">
        <f>G114*AO114</f>
        <v>0</v>
      </c>
      <c r="BI114" s="13">
        <f>G114*AP114</f>
        <v>0</v>
      </c>
      <c r="BJ114" s="13">
        <f>G114*H114</f>
        <v>0</v>
      </c>
      <c r="BK114" s="13"/>
      <c r="BL114" s="13">
        <v>725</v>
      </c>
      <c r="BW114" s="13">
        <v>21</v>
      </c>
    </row>
    <row r="115" spans="1:75" ht="13.5" customHeight="1" x14ac:dyDescent="0.25">
      <c r="A115" s="32"/>
      <c r="C115" s="80" t="s">
        <v>802</v>
      </c>
      <c r="D115" s="113" t="s">
        <v>831</v>
      </c>
      <c r="E115" s="114"/>
      <c r="F115" s="114"/>
      <c r="G115" s="114"/>
      <c r="H115" s="184"/>
      <c r="I115" s="114"/>
      <c r="J115" s="114"/>
      <c r="K115" s="185"/>
    </row>
    <row r="116" spans="1:75" ht="13.5" customHeight="1" x14ac:dyDescent="0.25">
      <c r="A116" s="1" t="s">
        <v>306</v>
      </c>
      <c r="B116" s="2" t="s">
        <v>26</v>
      </c>
      <c r="C116" s="2" t="s">
        <v>307</v>
      </c>
      <c r="D116" s="95" t="s">
        <v>308</v>
      </c>
      <c r="E116" s="88"/>
      <c r="F116" s="2" t="s">
        <v>61</v>
      </c>
      <c r="G116" s="13">
        <v>2</v>
      </c>
      <c r="H116" s="78">
        <v>0</v>
      </c>
      <c r="I116" s="13">
        <f>G116*H116</f>
        <v>0</v>
      </c>
      <c r="K116" s="34"/>
      <c r="Z116" s="13">
        <f>IF(AQ116="5",BJ116,0)</f>
        <v>0</v>
      </c>
      <c r="AB116" s="13">
        <f>IF(AQ116="1",BH116,0)</f>
        <v>0</v>
      </c>
      <c r="AC116" s="13">
        <f>IF(AQ116="1",BI116,0)</f>
        <v>0</v>
      </c>
      <c r="AD116" s="13">
        <f>IF(AQ116="7",BH116,0)</f>
        <v>0</v>
      </c>
      <c r="AE116" s="13">
        <f>IF(AQ116="7",BI116,0)</f>
        <v>0</v>
      </c>
      <c r="AF116" s="13">
        <f>IF(AQ116="2",BH116,0)</f>
        <v>0</v>
      </c>
      <c r="AG116" s="13">
        <f>IF(AQ116="2",BI116,0)</f>
        <v>0</v>
      </c>
      <c r="AH116" s="13">
        <f>IF(AQ116="0",BJ116,0)</f>
        <v>0</v>
      </c>
      <c r="AI116" s="30" t="s">
        <v>26</v>
      </c>
      <c r="AJ116" s="13">
        <f>IF(AN116=0,I116,0)</f>
        <v>0</v>
      </c>
      <c r="AK116" s="13">
        <f>IF(AN116=12,I116,0)</f>
        <v>0</v>
      </c>
      <c r="AL116" s="13">
        <f>IF(AN116=21,I116,0)</f>
        <v>0</v>
      </c>
      <c r="AN116" s="13">
        <v>21</v>
      </c>
      <c r="AO116" s="13">
        <f>H116*0.693970464</f>
        <v>0</v>
      </c>
      <c r="AP116" s="13">
        <f>H116*(1-0.693970464)</f>
        <v>0</v>
      </c>
      <c r="AQ116" s="79" t="s">
        <v>75</v>
      </c>
      <c r="AV116" s="13">
        <f>AW116+AX116</f>
        <v>0</v>
      </c>
      <c r="AW116" s="13">
        <f>G116*AO116</f>
        <v>0</v>
      </c>
      <c r="AX116" s="13">
        <f>G116*AP116</f>
        <v>0</v>
      </c>
      <c r="AY116" s="79" t="s">
        <v>830</v>
      </c>
      <c r="AZ116" s="79" t="s">
        <v>824</v>
      </c>
      <c r="BA116" s="30" t="s">
        <v>801</v>
      </c>
      <c r="BC116" s="13">
        <f>AW116+AX116</f>
        <v>0</v>
      </c>
      <c r="BD116" s="13">
        <f>H116/(100-BE116)*100</f>
        <v>0</v>
      </c>
      <c r="BE116" s="13">
        <v>0</v>
      </c>
      <c r="BF116" s="13">
        <f>116</f>
        <v>116</v>
      </c>
      <c r="BH116" s="13">
        <f>G116*AO116</f>
        <v>0</v>
      </c>
      <c r="BI116" s="13">
        <f>G116*AP116</f>
        <v>0</v>
      </c>
      <c r="BJ116" s="13">
        <f>G116*H116</f>
        <v>0</v>
      </c>
      <c r="BK116" s="13"/>
      <c r="BL116" s="13">
        <v>725</v>
      </c>
      <c r="BW116" s="13">
        <v>21</v>
      </c>
    </row>
    <row r="117" spans="1:75" ht="13.5" customHeight="1" x14ac:dyDescent="0.25">
      <c r="A117" s="1" t="s">
        <v>309</v>
      </c>
      <c r="B117" s="2" t="s">
        <v>26</v>
      </c>
      <c r="C117" s="2" t="s">
        <v>310</v>
      </c>
      <c r="D117" s="95" t="s">
        <v>311</v>
      </c>
      <c r="E117" s="88"/>
      <c r="F117" s="2" t="s">
        <v>61</v>
      </c>
      <c r="G117" s="13">
        <v>1</v>
      </c>
      <c r="H117" s="78">
        <v>0</v>
      </c>
      <c r="I117" s="13">
        <f>G117*H117</f>
        <v>0</v>
      </c>
      <c r="K117" s="34"/>
      <c r="Z117" s="13">
        <f>IF(AQ117="5",BJ117,0)</f>
        <v>0</v>
      </c>
      <c r="AB117" s="13">
        <f>IF(AQ117="1",BH117,0)</f>
        <v>0</v>
      </c>
      <c r="AC117" s="13">
        <f>IF(AQ117="1",BI117,0)</f>
        <v>0</v>
      </c>
      <c r="AD117" s="13">
        <f>IF(AQ117="7",BH117,0)</f>
        <v>0</v>
      </c>
      <c r="AE117" s="13">
        <f>IF(AQ117="7",BI117,0)</f>
        <v>0</v>
      </c>
      <c r="AF117" s="13">
        <f>IF(AQ117="2",BH117,0)</f>
        <v>0</v>
      </c>
      <c r="AG117" s="13">
        <f>IF(AQ117="2",BI117,0)</f>
        <v>0</v>
      </c>
      <c r="AH117" s="13">
        <f>IF(AQ117="0",BJ117,0)</f>
        <v>0</v>
      </c>
      <c r="AI117" s="30" t="s">
        <v>26</v>
      </c>
      <c r="AJ117" s="13">
        <f>IF(AN117=0,I117,0)</f>
        <v>0</v>
      </c>
      <c r="AK117" s="13">
        <f>IF(AN117=12,I117,0)</f>
        <v>0</v>
      </c>
      <c r="AL117" s="13">
        <f>IF(AN117=21,I117,0)</f>
        <v>0</v>
      </c>
      <c r="AN117" s="13">
        <v>21</v>
      </c>
      <c r="AO117" s="13">
        <f>H117*0.894390582</f>
        <v>0</v>
      </c>
      <c r="AP117" s="13">
        <f>H117*(1-0.894390582)</f>
        <v>0</v>
      </c>
      <c r="AQ117" s="79" t="s">
        <v>75</v>
      </c>
      <c r="AV117" s="13">
        <f>AW117+AX117</f>
        <v>0</v>
      </c>
      <c r="AW117" s="13">
        <f>G117*AO117</f>
        <v>0</v>
      </c>
      <c r="AX117" s="13">
        <f>G117*AP117</f>
        <v>0</v>
      </c>
      <c r="AY117" s="79" t="s">
        <v>830</v>
      </c>
      <c r="AZ117" s="79" t="s">
        <v>824</v>
      </c>
      <c r="BA117" s="30" t="s">
        <v>801</v>
      </c>
      <c r="BC117" s="13">
        <f>AW117+AX117</f>
        <v>0</v>
      </c>
      <c r="BD117" s="13">
        <f>H117/(100-BE117)*100</f>
        <v>0</v>
      </c>
      <c r="BE117" s="13">
        <v>0</v>
      </c>
      <c r="BF117" s="13">
        <f>117</f>
        <v>117</v>
      </c>
      <c r="BH117" s="13">
        <f>G117*AO117</f>
        <v>0</v>
      </c>
      <c r="BI117" s="13">
        <f>G117*AP117</f>
        <v>0</v>
      </c>
      <c r="BJ117" s="13">
        <f>G117*H117</f>
        <v>0</v>
      </c>
      <c r="BK117" s="13"/>
      <c r="BL117" s="13">
        <v>725</v>
      </c>
      <c r="BW117" s="13">
        <v>21</v>
      </c>
    </row>
    <row r="118" spans="1:75" ht="13.5" customHeight="1" x14ac:dyDescent="0.25">
      <c r="A118" s="1" t="s">
        <v>32</v>
      </c>
      <c r="B118" s="2" t="s">
        <v>26</v>
      </c>
      <c r="C118" s="2" t="s">
        <v>312</v>
      </c>
      <c r="D118" s="95" t="s">
        <v>313</v>
      </c>
      <c r="E118" s="88"/>
      <c r="F118" s="2" t="s">
        <v>61</v>
      </c>
      <c r="G118" s="13">
        <v>1</v>
      </c>
      <c r="H118" s="78">
        <v>0</v>
      </c>
      <c r="I118" s="13">
        <f>G118*H118</f>
        <v>0</v>
      </c>
      <c r="K118" s="34"/>
      <c r="Z118" s="13">
        <f>IF(AQ118="5",BJ118,0)</f>
        <v>0</v>
      </c>
      <c r="AB118" s="13">
        <f>IF(AQ118="1",BH118,0)</f>
        <v>0</v>
      </c>
      <c r="AC118" s="13">
        <f>IF(AQ118="1",BI118,0)</f>
        <v>0</v>
      </c>
      <c r="AD118" s="13">
        <f>IF(AQ118="7",BH118,0)</f>
        <v>0</v>
      </c>
      <c r="AE118" s="13">
        <f>IF(AQ118="7",BI118,0)</f>
        <v>0</v>
      </c>
      <c r="AF118" s="13">
        <f>IF(AQ118="2",BH118,0)</f>
        <v>0</v>
      </c>
      <c r="AG118" s="13">
        <f>IF(AQ118="2",BI118,0)</f>
        <v>0</v>
      </c>
      <c r="AH118" s="13">
        <f>IF(AQ118="0",BJ118,0)</f>
        <v>0</v>
      </c>
      <c r="AI118" s="30" t="s">
        <v>26</v>
      </c>
      <c r="AJ118" s="13">
        <f>IF(AN118=0,I118,0)</f>
        <v>0</v>
      </c>
      <c r="AK118" s="13">
        <f>IF(AN118=12,I118,0)</f>
        <v>0</v>
      </c>
      <c r="AL118" s="13">
        <f>IF(AN118=21,I118,0)</f>
        <v>0</v>
      </c>
      <c r="AN118" s="13">
        <v>21</v>
      </c>
      <c r="AO118" s="13">
        <f>H118*0</f>
        <v>0</v>
      </c>
      <c r="AP118" s="13">
        <f>H118*(1-0)</f>
        <v>0</v>
      </c>
      <c r="AQ118" s="79" t="s">
        <v>75</v>
      </c>
      <c r="AV118" s="13">
        <f>AW118+AX118</f>
        <v>0</v>
      </c>
      <c r="AW118" s="13">
        <f>G118*AO118</f>
        <v>0</v>
      </c>
      <c r="AX118" s="13">
        <f>G118*AP118</f>
        <v>0</v>
      </c>
      <c r="AY118" s="79" t="s">
        <v>830</v>
      </c>
      <c r="AZ118" s="79" t="s">
        <v>824</v>
      </c>
      <c r="BA118" s="30" t="s">
        <v>801</v>
      </c>
      <c r="BC118" s="13">
        <f>AW118+AX118</f>
        <v>0</v>
      </c>
      <c r="BD118" s="13">
        <f>H118/(100-BE118)*100</f>
        <v>0</v>
      </c>
      <c r="BE118" s="13">
        <v>0</v>
      </c>
      <c r="BF118" s="13">
        <f>118</f>
        <v>118</v>
      </c>
      <c r="BH118" s="13">
        <f>G118*AO118</f>
        <v>0</v>
      </c>
      <c r="BI118" s="13">
        <f>G118*AP118</f>
        <v>0</v>
      </c>
      <c r="BJ118" s="13">
        <f>G118*H118</f>
        <v>0</v>
      </c>
      <c r="BK118" s="13"/>
      <c r="BL118" s="13">
        <v>725</v>
      </c>
      <c r="BW118" s="13">
        <v>21</v>
      </c>
    </row>
    <row r="119" spans="1:75" ht="13.5" customHeight="1" x14ac:dyDescent="0.25">
      <c r="A119" s="1" t="s">
        <v>34</v>
      </c>
      <c r="B119" s="2" t="s">
        <v>26</v>
      </c>
      <c r="C119" s="2" t="s">
        <v>314</v>
      </c>
      <c r="D119" s="95" t="s">
        <v>315</v>
      </c>
      <c r="E119" s="88"/>
      <c r="F119" s="2" t="s">
        <v>61</v>
      </c>
      <c r="G119" s="13">
        <v>5</v>
      </c>
      <c r="H119" s="78">
        <v>0</v>
      </c>
      <c r="I119" s="13">
        <f>G119*H119</f>
        <v>0</v>
      </c>
      <c r="K119" s="34"/>
      <c r="Z119" s="13">
        <f>IF(AQ119="5",BJ119,0)</f>
        <v>0</v>
      </c>
      <c r="AB119" s="13">
        <f>IF(AQ119="1",BH119,0)</f>
        <v>0</v>
      </c>
      <c r="AC119" s="13">
        <f>IF(AQ119="1",BI119,0)</f>
        <v>0</v>
      </c>
      <c r="AD119" s="13">
        <f>IF(AQ119="7",BH119,0)</f>
        <v>0</v>
      </c>
      <c r="AE119" s="13">
        <f>IF(AQ119="7",BI119,0)</f>
        <v>0</v>
      </c>
      <c r="AF119" s="13">
        <f>IF(AQ119="2",BH119,0)</f>
        <v>0</v>
      </c>
      <c r="AG119" s="13">
        <f>IF(AQ119="2",BI119,0)</f>
        <v>0</v>
      </c>
      <c r="AH119" s="13">
        <f>IF(AQ119="0",BJ119,0)</f>
        <v>0</v>
      </c>
      <c r="AI119" s="30" t="s">
        <v>26</v>
      </c>
      <c r="AJ119" s="13">
        <f>IF(AN119=0,I119,0)</f>
        <v>0</v>
      </c>
      <c r="AK119" s="13">
        <f>IF(AN119=12,I119,0)</f>
        <v>0</v>
      </c>
      <c r="AL119" s="13">
        <f>IF(AN119=21,I119,0)</f>
        <v>0</v>
      </c>
      <c r="AN119" s="13">
        <v>21</v>
      </c>
      <c r="AO119" s="13">
        <f>H119*0.893443447</f>
        <v>0</v>
      </c>
      <c r="AP119" s="13">
        <f>H119*(1-0.893443447)</f>
        <v>0</v>
      </c>
      <c r="AQ119" s="79" t="s">
        <v>75</v>
      </c>
      <c r="AV119" s="13">
        <f>AW119+AX119</f>
        <v>0</v>
      </c>
      <c r="AW119" s="13">
        <f>G119*AO119</f>
        <v>0</v>
      </c>
      <c r="AX119" s="13">
        <f>G119*AP119</f>
        <v>0</v>
      </c>
      <c r="AY119" s="79" t="s">
        <v>830</v>
      </c>
      <c r="AZ119" s="79" t="s">
        <v>824</v>
      </c>
      <c r="BA119" s="30" t="s">
        <v>801</v>
      </c>
      <c r="BC119" s="13">
        <f>AW119+AX119</f>
        <v>0</v>
      </c>
      <c r="BD119" s="13">
        <f>H119/(100-BE119)*100</f>
        <v>0</v>
      </c>
      <c r="BE119" s="13">
        <v>0</v>
      </c>
      <c r="BF119" s="13">
        <f>119</f>
        <v>119</v>
      </c>
      <c r="BH119" s="13">
        <f>G119*AO119</f>
        <v>0</v>
      </c>
      <c r="BI119" s="13">
        <f>G119*AP119</f>
        <v>0</v>
      </c>
      <c r="BJ119" s="13">
        <f>G119*H119</f>
        <v>0</v>
      </c>
      <c r="BK119" s="13"/>
      <c r="BL119" s="13">
        <v>725</v>
      </c>
      <c r="BW119" s="13">
        <v>21</v>
      </c>
    </row>
    <row r="120" spans="1:75" ht="13.5" customHeight="1" x14ac:dyDescent="0.25">
      <c r="A120" s="32"/>
      <c r="C120" s="80" t="s">
        <v>802</v>
      </c>
      <c r="D120" s="113" t="s">
        <v>832</v>
      </c>
      <c r="E120" s="114"/>
      <c r="F120" s="114"/>
      <c r="G120" s="114"/>
      <c r="H120" s="184"/>
      <c r="I120" s="114"/>
      <c r="J120" s="114"/>
      <c r="K120" s="185"/>
    </row>
    <row r="121" spans="1:75" ht="13.5" customHeight="1" x14ac:dyDescent="0.25">
      <c r="A121" s="1" t="s">
        <v>36</v>
      </c>
      <c r="B121" s="2" t="s">
        <v>26</v>
      </c>
      <c r="C121" s="2" t="s">
        <v>316</v>
      </c>
      <c r="D121" s="95" t="s">
        <v>317</v>
      </c>
      <c r="E121" s="88"/>
      <c r="F121" s="2" t="s">
        <v>107</v>
      </c>
      <c r="G121" s="13">
        <v>1</v>
      </c>
      <c r="H121" s="78">
        <v>0</v>
      </c>
      <c r="I121" s="13">
        <f>G121*H121</f>
        <v>0</v>
      </c>
      <c r="K121" s="34"/>
      <c r="Z121" s="13">
        <f>IF(AQ121="5",BJ121,0)</f>
        <v>0</v>
      </c>
      <c r="AB121" s="13">
        <f>IF(AQ121="1",BH121,0)</f>
        <v>0</v>
      </c>
      <c r="AC121" s="13">
        <f>IF(AQ121="1",BI121,0)</f>
        <v>0</v>
      </c>
      <c r="AD121" s="13">
        <f>IF(AQ121="7",BH121,0)</f>
        <v>0</v>
      </c>
      <c r="AE121" s="13">
        <f>IF(AQ121="7",BI121,0)</f>
        <v>0</v>
      </c>
      <c r="AF121" s="13">
        <f>IF(AQ121="2",BH121,0)</f>
        <v>0</v>
      </c>
      <c r="AG121" s="13">
        <f>IF(AQ121="2",BI121,0)</f>
        <v>0</v>
      </c>
      <c r="AH121" s="13">
        <f>IF(AQ121="0",BJ121,0)</f>
        <v>0</v>
      </c>
      <c r="AI121" s="30" t="s">
        <v>26</v>
      </c>
      <c r="AJ121" s="13">
        <f>IF(AN121=0,I121,0)</f>
        <v>0</v>
      </c>
      <c r="AK121" s="13">
        <f>IF(AN121=12,I121,0)</f>
        <v>0</v>
      </c>
      <c r="AL121" s="13">
        <f>IF(AN121=21,I121,0)</f>
        <v>0</v>
      </c>
      <c r="AN121" s="13">
        <v>21</v>
      </c>
      <c r="AO121" s="13">
        <f>H121*0.898026616</f>
        <v>0</v>
      </c>
      <c r="AP121" s="13">
        <f>H121*(1-0.898026616)</f>
        <v>0</v>
      </c>
      <c r="AQ121" s="79" t="s">
        <v>75</v>
      </c>
      <c r="AV121" s="13">
        <f>AW121+AX121</f>
        <v>0</v>
      </c>
      <c r="AW121" s="13">
        <f>G121*AO121</f>
        <v>0</v>
      </c>
      <c r="AX121" s="13">
        <f>G121*AP121</f>
        <v>0</v>
      </c>
      <c r="AY121" s="79" t="s">
        <v>830</v>
      </c>
      <c r="AZ121" s="79" t="s">
        <v>824</v>
      </c>
      <c r="BA121" s="30" t="s">
        <v>801</v>
      </c>
      <c r="BC121" s="13">
        <f>AW121+AX121</f>
        <v>0</v>
      </c>
      <c r="BD121" s="13">
        <f>H121/(100-BE121)*100</f>
        <v>0</v>
      </c>
      <c r="BE121" s="13">
        <v>0</v>
      </c>
      <c r="BF121" s="13">
        <f>121</f>
        <v>121</v>
      </c>
      <c r="BH121" s="13">
        <f>G121*AO121</f>
        <v>0</v>
      </c>
      <c r="BI121" s="13">
        <f>G121*AP121</f>
        <v>0</v>
      </c>
      <c r="BJ121" s="13">
        <f>G121*H121</f>
        <v>0</v>
      </c>
      <c r="BK121" s="13"/>
      <c r="BL121" s="13">
        <v>725</v>
      </c>
      <c r="BW121" s="13">
        <v>21</v>
      </c>
    </row>
    <row r="122" spans="1:75" ht="13.5" customHeight="1" x14ac:dyDescent="0.25">
      <c r="A122" s="32"/>
      <c r="C122" s="80" t="s">
        <v>802</v>
      </c>
      <c r="D122" s="113" t="s">
        <v>833</v>
      </c>
      <c r="E122" s="114"/>
      <c r="F122" s="114"/>
      <c r="G122" s="114"/>
      <c r="H122" s="184"/>
      <c r="I122" s="114"/>
      <c r="J122" s="114"/>
      <c r="K122" s="185"/>
    </row>
    <row r="123" spans="1:75" ht="13.5" customHeight="1" x14ac:dyDescent="0.25">
      <c r="A123" s="1" t="s">
        <v>318</v>
      </c>
      <c r="B123" s="2" t="s">
        <v>26</v>
      </c>
      <c r="C123" s="2" t="s">
        <v>319</v>
      </c>
      <c r="D123" s="95" t="s">
        <v>320</v>
      </c>
      <c r="E123" s="88"/>
      <c r="F123" s="2" t="s">
        <v>107</v>
      </c>
      <c r="G123" s="13">
        <v>2</v>
      </c>
      <c r="H123" s="78">
        <v>0</v>
      </c>
      <c r="I123" s="13">
        <f>G123*H123</f>
        <v>0</v>
      </c>
      <c r="K123" s="34"/>
      <c r="Z123" s="13">
        <f>IF(AQ123="5",BJ123,0)</f>
        <v>0</v>
      </c>
      <c r="AB123" s="13">
        <f>IF(AQ123="1",BH123,0)</f>
        <v>0</v>
      </c>
      <c r="AC123" s="13">
        <f>IF(AQ123="1",BI123,0)</f>
        <v>0</v>
      </c>
      <c r="AD123" s="13">
        <f>IF(AQ123="7",BH123,0)</f>
        <v>0</v>
      </c>
      <c r="AE123" s="13">
        <f>IF(AQ123="7",BI123,0)</f>
        <v>0</v>
      </c>
      <c r="AF123" s="13">
        <f>IF(AQ123="2",BH123,0)</f>
        <v>0</v>
      </c>
      <c r="AG123" s="13">
        <f>IF(AQ123="2",BI123,0)</f>
        <v>0</v>
      </c>
      <c r="AH123" s="13">
        <f>IF(AQ123="0",BJ123,0)</f>
        <v>0</v>
      </c>
      <c r="AI123" s="30" t="s">
        <v>26</v>
      </c>
      <c r="AJ123" s="13">
        <f>IF(AN123=0,I123,0)</f>
        <v>0</v>
      </c>
      <c r="AK123" s="13">
        <f>IF(AN123=12,I123,0)</f>
        <v>0</v>
      </c>
      <c r="AL123" s="13">
        <f>IF(AN123=21,I123,0)</f>
        <v>0</v>
      </c>
      <c r="AN123" s="13">
        <v>21</v>
      </c>
      <c r="AO123" s="13">
        <f>H123*0.016183486</f>
        <v>0</v>
      </c>
      <c r="AP123" s="13">
        <f>H123*(1-0.016183486)</f>
        <v>0</v>
      </c>
      <c r="AQ123" s="79" t="s">
        <v>75</v>
      </c>
      <c r="AV123" s="13">
        <f>AW123+AX123</f>
        <v>0</v>
      </c>
      <c r="AW123" s="13">
        <f>G123*AO123</f>
        <v>0</v>
      </c>
      <c r="AX123" s="13">
        <f>G123*AP123</f>
        <v>0</v>
      </c>
      <c r="AY123" s="79" t="s">
        <v>830</v>
      </c>
      <c r="AZ123" s="79" t="s">
        <v>824</v>
      </c>
      <c r="BA123" s="30" t="s">
        <v>801</v>
      </c>
      <c r="BC123" s="13">
        <f>AW123+AX123</f>
        <v>0</v>
      </c>
      <c r="BD123" s="13">
        <f>H123/(100-BE123)*100</f>
        <v>0</v>
      </c>
      <c r="BE123" s="13">
        <v>0</v>
      </c>
      <c r="BF123" s="13">
        <f>123</f>
        <v>123</v>
      </c>
      <c r="BH123" s="13">
        <f>G123*AO123</f>
        <v>0</v>
      </c>
      <c r="BI123" s="13">
        <f>G123*AP123</f>
        <v>0</v>
      </c>
      <c r="BJ123" s="13">
        <f>G123*H123</f>
        <v>0</v>
      </c>
      <c r="BK123" s="13"/>
      <c r="BL123" s="13">
        <v>725</v>
      </c>
      <c r="BW123" s="13">
        <v>21</v>
      </c>
    </row>
    <row r="124" spans="1:75" ht="13.5" customHeight="1" x14ac:dyDescent="0.25">
      <c r="A124" s="1" t="s">
        <v>321</v>
      </c>
      <c r="B124" s="2" t="s">
        <v>26</v>
      </c>
      <c r="C124" s="2" t="s">
        <v>322</v>
      </c>
      <c r="D124" s="95" t="s">
        <v>323</v>
      </c>
      <c r="E124" s="88"/>
      <c r="F124" s="2" t="s">
        <v>107</v>
      </c>
      <c r="G124" s="13">
        <v>2</v>
      </c>
      <c r="H124" s="78">
        <v>0</v>
      </c>
      <c r="I124" s="13">
        <f>G124*H124</f>
        <v>0</v>
      </c>
      <c r="K124" s="34"/>
      <c r="Z124" s="13">
        <f>IF(AQ124="5",BJ124,0)</f>
        <v>0</v>
      </c>
      <c r="AB124" s="13">
        <f>IF(AQ124="1",BH124,0)</f>
        <v>0</v>
      </c>
      <c r="AC124" s="13">
        <f>IF(AQ124="1",BI124,0)</f>
        <v>0</v>
      </c>
      <c r="AD124" s="13">
        <f>IF(AQ124="7",BH124,0)</f>
        <v>0</v>
      </c>
      <c r="AE124" s="13">
        <f>IF(AQ124="7",BI124,0)</f>
        <v>0</v>
      </c>
      <c r="AF124" s="13">
        <f>IF(AQ124="2",BH124,0)</f>
        <v>0</v>
      </c>
      <c r="AG124" s="13">
        <f>IF(AQ124="2",BI124,0)</f>
        <v>0</v>
      </c>
      <c r="AH124" s="13">
        <f>IF(AQ124="0",BJ124,0)</f>
        <v>0</v>
      </c>
      <c r="AI124" s="30" t="s">
        <v>26</v>
      </c>
      <c r="AJ124" s="13">
        <f>IF(AN124=0,I124,0)</f>
        <v>0</v>
      </c>
      <c r="AK124" s="13">
        <f>IF(AN124=12,I124,0)</f>
        <v>0</v>
      </c>
      <c r="AL124" s="13">
        <f>IF(AN124=21,I124,0)</f>
        <v>0</v>
      </c>
      <c r="AN124" s="13">
        <v>21</v>
      </c>
      <c r="AO124" s="13">
        <f>H124*1</f>
        <v>0</v>
      </c>
      <c r="AP124" s="13">
        <f>H124*(1-1)</f>
        <v>0</v>
      </c>
      <c r="AQ124" s="79" t="s">
        <v>75</v>
      </c>
      <c r="AV124" s="13">
        <f>AW124+AX124</f>
        <v>0</v>
      </c>
      <c r="AW124" s="13">
        <f>G124*AO124</f>
        <v>0</v>
      </c>
      <c r="AX124" s="13">
        <f>G124*AP124</f>
        <v>0</v>
      </c>
      <c r="AY124" s="79" t="s">
        <v>830</v>
      </c>
      <c r="AZ124" s="79" t="s">
        <v>824</v>
      </c>
      <c r="BA124" s="30" t="s">
        <v>801</v>
      </c>
      <c r="BC124" s="13">
        <f>AW124+AX124</f>
        <v>0</v>
      </c>
      <c r="BD124" s="13">
        <f>H124/(100-BE124)*100</f>
        <v>0</v>
      </c>
      <c r="BE124" s="13">
        <v>0</v>
      </c>
      <c r="BF124" s="13">
        <f>124</f>
        <v>124</v>
      </c>
      <c r="BH124" s="13">
        <f>G124*AO124</f>
        <v>0</v>
      </c>
      <c r="BI124" s="13">
        <f>G124*AP124</f>
        <v>0</v>
      </c>
      <c r="BJ124" s="13">
        <f>G124*H124</f>
        <v>0</v>
      </c>
      <c r="BK124" s="13"/>
      <c r="BL124" s="13">
        <v>725</v>
      </c>
      <c r="BW124" s="13">
        <v>21</v>
      </c>
    </row>
    <row r="125" spans="1:75" ht="13.5" customHeight="1" x14ac:dyDescent="0.25">
      <c r="A125" s="1" t="s">
        <v>38</v>
      </c>
      <c r="B125" s="2" t="s">
        <v>26</v>
      </c>
      <c r="C125" s="2" t="s">
        <v>324</v>
      </c>
      <c r="D125" s="95" t="s">
        <v>325</v>
      </c>
      <c r="E125" s="88"/>
      <c r="F125" s="2" t="s">
        <v>107</v>
      </c>
      <c r="G125" s="13">
        <v>1</v>
      </c>
      <c r="H125" s="78">
        <v>0</v>
      </c>
      <c r="I125" s="13">
        <f>G125*H125</f>
        <v>0</v>
      </c>
      <c r="K125" s="34"/>
      <c r="Z125" s="13">
        <f>IF(AQ125="5",BJ125,0)</f>
        <v>0</v>
      </c>
      <c r="AB125" s="13">
        <f>IF(AQ125="1",BH125,0)</f>
        <v>0</v>
      </c>
      <c r="AC125" s="13">
        <f>IF(AQ125="1",BI125,0)</f>
        <v>0</v>
      </c>
      <c r="AD125" s="13">
        <f>IF(AQ125="7",BH125,0)</f>
        <v>0</v>
      </c>
      <c r="AE125" s="13">
        <f>IF(AQ125="7",BI125,0)</f>
        <v>0</v>
      </c>
      <c r="AF125" s="13">
        <f>IF(AQ125="2",BH125,0)</f>
        <v>0</v>
      </c>
      <c r="AG125" s="13">
        <f>IF(AQ125="2",BI125,0)</f>
        <v>0</v>
      </c>
      <c r="AH125" s="13">
        <f>IF(AQ125="0",BJ125,0)</f>
        <v>0</v>
      </c>
      <c r="AI125" s="30" t="s">
        <v>26</v>
      </c>
      <c r="AJ125" s="13">
        <f>IF(AN125=0,I125,0)</f>
        <v>0</v>
      </c>
      <c r="AK125" s="13">
        <f>IF(AN125=12,I125,0)</f>
        <v>0</v>
      </c>
      <c r="AL125" s="13">
        <f>IF(AN125=21,I125,0)</f>
        <v>0</v>
      </c>
      <c r="AN125" s="13">
        <v>21</v>
      </c>
      <c r="AO125" s="13">
        <f>H125*0.92106206</f>
        <v>0</v>
      </c>
      <c r="AP125" s="13">
        <f>H125*(1-0.92106206)</f>
        <v>0</v>
      </c>
      <c r="AQ125" s="79" t="s">
        <v>75</v>
      </c>
      <c r="AV125" s="13">
        <f>AW125+AX125</f>
        <v>0</v>
      </c>
      <c r="AW125" s="13">
        <f>G125*AO125</f>
        <v>0</v>
      </c>
      <c r="AX125" s="13">
        <f>G125*AP125</f>
        <v>0</v>
      </c>
      <c r="AY125" s="79" t="s">
        <v>830</v>
      </c>
      <c r="AZ125" s="79" t="s">
        <v>824</v>
      </c>
      <c r="BA125" s="30" t="s">
        <v>801</v>
      </c>
      <c r="BC125" s="13">
        <f>AW125+AX125</f>
        <v>0</v>
      </c>
      <c r="BD125" s="13">
        <f>H125/(100-BE125)*100</f>
        <v>0</v>
      </c>
      <c r="BE125" s="13">
        <v>0</v>
      </c>
      <c r="BF125" s="13">
        <f>125</f>
        <v>125</v>
      </c>
      <c r="BH125" s="13">
        <f>G125*AO125</f>
        <v>0</v>
      </c>
      <c r="BI125" s="13">
        <f>G125*AP125</f>
        <v>0</v>
      </c>
      <c r="BJ125" s="13">
        <f>G125*H125</f>
        <v>0</v>
      </c>
      <c r="BK125" s="13"/>
      <c r="BL125" s="13">
        <v>725</v>
      </c>
      <c r="BW125" s="13">
        <v>21</v>
      </c>
    </row>
    <row r="126" spans="1:75" ht="13.5" customHeight="1" x14ac:dyDescent="0.25">
      <c r="A126" s="1" t="s">
        <v>40</v>
      </c>
      <c r="B126" s="2" t="s">
        <v>26</v>
      </c>
      <c r="C126" s="2" t="s">
        <v>326</v>
      </c>
      <c r="D126" s="95" t="s">
        <v>327</v>
      </c>
      <c r="E126" s="88"/>
      <c r="F126" s="2" t="s">
        <v>107</v>
      </c>
      <c r="G126" s="13">
        <v>2</v>
      </c>
      <c r="H126" s="78">
        <v>0</v>
      </c>
      <c r="I126" s="13">
        <f>G126*H126</f>
        <v>0</v>
      </c>
      <c r="K126" s="34"/>
      <c r="Z126" s="13">
        <f>IF(AQ126="5",BJ126,0)</f>
        <v>0</v>
      </c>
      <c r="AB126" s="13">
        <f>IF(AQ126="1",BH126,0)</f>
        <v>0</v>
      </c>
      <c r="AC126" s="13">
        <f>IF(AQ126="1",BI126,0)</f>
        <v>0</v>
      </c>
      <c r="AD126" s="13">
        <f>IF(AQ126="7",BH126,0)</f>
        <v>0</v>
      </c>
      <c r="AE126" s="13">
        <f>IF(AQ126="7",BI126,0)</f>
        <v>0</v>
      </c>
      <c r="AF126" s="13">
        <f>IF(AQ126="2",BH126,0)</f>
        <v>0</v>
      </c>
      <c r="AG126" s="13">
        <f>IF(AQ126="2",BI126,0)</f>
        <v>0</v>
      </c>
      <c r="AH126" s="13">
        <f>IF(AQ126="0",BJ126,0)</f>
        <v>0</v>
      </c>
      <c r="AI126" s="30" t="s">
        <v>26</v>
      </c>
      <c r="AJ126" s="13">
        <f>IF(AN126=0,I126,0)</f>
        <v>0</v>
      </c>
      <c r="AK126" s="13">
        <f>IF(AN126=12,I126,0)</f>
        <v>0</v>
      </c>
      <c r="AL126" s="13">
        <f>IF(AN126=21,I126,0)</f>
        <v>0</v>
      </c>
      <c r="AN126" s="13">
        <v>21</v>
      </c>
      <c r="AO126" s="13">
        <f>H126*0</f>
        <v>0</v>
      </c>
      <c r="AP126" s="13">
        <f>H126*(1-0)</f>
        <v>0</v>
      </c>
      <c r="AQ126" s="79" t="s">
        <v>75</v>
      </c>
      <c r="AV126" s="13">
        <f>AW126+AX126</f>
        <v>0</v>
      </c>
      <c r="AW126" s="13">
        <f>G126*AO126</f>
        <v>0</v>
      </c>
      <c r="AX126" s="13">
        <f>G126*AP126</f>
        <v>0</v>
      </c>
      <c r="AY126" s="79" t="s">
        <v>830</v>
      </c>
      <c r="AZ126" s="79" t="s">
        <v>824</v>
      </c>
      <c r="BA126" s="30" t="s">
        <v>801</v>
      </c>
      <c r="BC126" s="13">
        <f>AW126+AX126</f>
        <v>0</v>
      </c>
      <c r="BD126" s="13">
        <f>H126/(100-BE126)*100</f>
        <v>0</v>
      </c>
      <c r="BE126" s="13">
        <v>0</v>
      </c>
      <c r="BF126" s="13">
        <f>126</f>
        <v>126</v>
      </c>
      <c r="BH126" s="13">
        <f>G126*AO126</f>
        <v>0</v>
      </c>
      <c r="BI126" s="13">
        <f>G126*AP126</f>
        <v>0</v>
      </c>
      <c r="BJ126" s="13">
        <f>G126*H126</f>
        <v>0</v>
      </c>
      <c r="BK126" s="13"/>
      <c r="BL126" s="13">
        <v>725</v>
      </c>
      <c r="BW126" s="13">
        <v>21</v>
      </c>
    </row>
    <row r="127" spans="1:75" ht="13.5" customHeight="1" x14ac:dyDescent="0.25">
      <c r="A127" s="32"/>
      <c r="C127" s="80" t="s">
        <v>49</v>
      </c>
      <c r="D127" s="113" t="s">
        <v>175</v>
      </c>
      <c r="E127" s="114"/>
      <c r="F127" s="114"/>
      <c r="G127" s="114"/>
      <c r="H127" s="184"/>
      <c r="I127" s="114"/>
      <c r="J127" s="114"/>
      <c r="K127" s="185"/>
    </row>
    <row r="128" spans="1:75" ht="13.5" customHeight="1" x14ac:dyDescent="0.25">
      <c r="A128" s="1" t="s">
        <v>42</v>
      </c>
      <c r="B128" s="2" t="s">
        <v>26</v>
      </c>
      <c r="C128" s="2" t="s">
        <v>328</v>
      </c>
      <c r="D128" s="95" t="s">
        <v>329</v>
      </c>
      <c r="E128" s="88"/>
      <c r="F128" s="2" t="s">
        <v>107</v>
      </c>
      <c r="G128" s="13">
        <v>1</v>
      </c>
      <c r="H128" s="78">
        <v>0</v>
      </c>
      <c r="I128" s="13">
        <f>G128*H128</f>
        <v>0</v>
      </c>
      <c r="K128" s="34"/>
      <c r="Z128" s="13">
        <f>IF(AQ128="5",BJ128,0)</f>
        <v>0</v>
      </c>
      <c r="AB128" s="13">
        <f>IF(AQ128="1",BH128,0)</f>
        <v>0</v>
      </c>
      <c r="AC128" s="13">
        <f>IF(AQ128="1",BI128,0)</f>
        <v>0</v>
      </c>
      <c r="AD128" s="13">
        <f>IF(AQ128="7",BH128,0)</f>
        <v>0</v>
      </c>
      <c r="AE128" s="13">
        <f>IF(AQ128="7",BI128,0)</f>
        <v>0</v>
      </c>
      <c r="AF128" s="13">
        <f>IF(AQ128="2",BH128,0)</f>
        <v>0</v>
      </c>
      <c r="AG128" s="13">
        <f>IF(AQ128="2",BI128,0)</f>
        <v>0</v>
      </c>
      <c r="AH128" s="13">
        <f>IF(AQ128="0",BJ128,0)</f>
        <v>0</v>
      </c>
      <c r="AI128" s="30" t="s">
        <v>26</v>
      </c>
      <c r="AJ128" s="13">
        <f>IF(AN128=0,I128,0)</f>
        <v>0</v>
      </c>
      <c r="AK128" s="13">
        <f>IF(AN128=12,I128,0)</f>
        <v>0</v>
      </c>
      <c r="AL128" s="13">
        <f>IF(AN128=21,I128,0)</f>
        <v>0</v>
      </c>
      <c r="AN128" s="13">
        <v>21</v>
      </c>
      <c r="AO128" s="13">
        <f>H128*0</f>
        <v>0</v>
      </c>
      <c r="AP128" s="13">
        <f>H128*(1-0)</f>
        <v>0</v>
      </c>
      <c r="AQ128" s="79" t="s">
        <v>75</v>
      </c>
      <c r="AV128" s="13">
        <f>AW128+AX128</f>
        <v>0</v>
      </c>
      <c r="AW128" s="13">
        <f>G128*AO128</f>
        <v>0</v>
      </c>
      <c r="AX128" s="13">
        <f>G128*AP128</f>
        <v>0</v>
      </c>
      <c r="AY128" s="79" t="s">
        <v>830</v>
      </c>
      <c r="AZ128" s="79" t="s">
        <v>824</v>
      </c>
      <c r="BA128" s="30" t="s">
        <v>801</v>
      </c>
      <c r="BC128" s="13">
        <f>AW128+AX128</f>
        <v>0</v>
      </c>
      <c r="BD128" s="13">
        <f>H128/(100-BE128)*100</f>
        <v>0</v>
      </c>
      <c r="BE128" s="13">
        <v>0</v>
      </c>
      <c r="BF128" s="13">
        <f>128</f>
        <v>128</v>
      </c>
      <c r="BH128" s="13">
        <f>G128*AO128</f>
        <v>0</v>
      </c>
      <c r="BI128" s="13">
        <f>G128*AP128</f>
        <v>0</v>
      </c>
      <c r="BJ128" s="13">
        <f>G128*H128</f>
        <v>0</v>
      </c>
      <c r="BK128" s="13"/>
      <c r="BL128" s="13">
        <v>725</v>
      </c>
      <c r="BW128" s="13">
        <v>21</v>
      </c>
    </row>
    <row r="129" spans="1:75" ht="13.5" customHeight="1" x14ac:dyDescent="0.25">
      <c r="A129" s="32"/>
      <c r="C129" s="80" t="s">
        <v>49</v>
      </c>
      <c r="D129" s="113" t="s">
        <v>175</v>
      </c>
      <c r="E129" s="114"/>
      <c r="F129" s="114"/>
      <c r="G129" s="114"/>
      <c r="H129" s="184"/>
      <c r="I129" s="114"/>
      <c r="J129" s="114"/>
      <c r="K129" s="185"/>
    </row>
    <row r="130" spans="1:75" ht="27" customHeight="1" x14ac:dyDescent="0.25">
      <c r="A130" s="1" t="s">
        <v>330</v>
      </c>
      <c r="B130" s="2" t="s">
        <v>26</v>
      </c>
      <c r="C130" s="2" t="s">
        <v>331</v>
      </c>
      <c r="D130" s="95" t="s">
        <v>332</v>
      </c>
      <c r="E130" s="88"/>
      <c r="F130" s="2" t="s">
        <v>61</v>
      </c>
      <c r="G130" s="13">
        <v>1</v>
      </c>
      <c r="H130" s="78">
        <v>0</v>
      </c>
      <c r="I130" s="13">
        <f>G130*H130</f>
        <v>0</v>
      </c>
      <c r="K130" s="34"/>
      <c r="Z130" s="13">
        <f>IF(AQ130="5",BJ130,0)</f>
        <v>0</v>
      </c>
      <c r="AB130" s="13">
        <f>IF(AQ130="1",BH130,0)</f>
        <v>0</v>
      </c>
      <c r="AC130" s="13">
        <f>IF(AQ130="1",BI130,0)</f>
        <v>0</v>
      </c>
      <c r="AD130" s="13">
        <f>IF(AQ130="7",BH130,0)</f>
        <v>0</v>
      </c>
      <c r="AE130" s="13">
        <f>IF(AQ130="7",BI130,0)</f>
        <v>0</v>
      </c>
      <c r="AF130" s="13">
        <f>IF(AQ130="2",BH130,0)</f>
        <v>0</v>
      </c>
      <c r="AG130" s="13">
        <f>IF(AQ130="2",BI130,0)</f>
        <v>0</v>
      </c>
      <c r="AH130" s="13">
        <f>IF(AQ130="0",BJ130,0)</f>
        <v>0</v>
      </c>
      <c r="AI130" s="30" t="s">
        <v>26</v>
      </c>
      <c r="AJ130" s="13">
        <f>IF(AN130=0,I130,0)</f>
        <v>0</v>
      </c>
      <c r="AK130" s="13">
        <f>IF(AN130=12,I130,0)</f>
        <v>0</v>
      </c>
      <c r="AL130" s="13">
        <f>IF(AN130=21,I130,0)</f>
        <v>0</v>
      </c>
      <c r="AN130" s="13">
        <v>21</v>
      </c>
      <c r="AO130" s="13">
        <f>H130*0</f>
        <v>0</v>
      </c>
      <c r="AP130" s="13">
        <f>H130*(1-0)</f>
        <v>0</v>
      </c>
      <c r="AQ130" s="79" t="s">
        <v>75</v>
      </c>
      <c r="AV130" s="13">
        <f>AW130+AX130</f>
        <v>0</v>
      </c>
      <c r="AW130" s="13">
        <f>G130*AO130</f>
        <v>0</v>
      </c>
      <c r="AX130" s="13">
        <f>G130*AP130</f>
        <v>0</v>
      </c>
      <c r="AY130" s="79" t="s">
        <v>830</v>
      </c>
      <c r="AZ130" s="79" t="s">
        <v>824</v>
      </c>
      <c r="BA130" s="30" t="s">
        <v>801</v>
      </c>
      <c r="BC130" s="13">
        <f>AW130+AX130</f>
        <v>0</v>
      </c>
      <c r="BD130" s="13">
        <f>H130/(100-BE130)*100</f>
        <v>0</v>
      </c>
      <c r="BE130" s="13">
        <v>0</v>
      </c>
      <c r="BF130" s="13">
        <f>130</f>
        <v>130</v>
      </c>
      <c r="BH130" s="13">
        <f>G130*AO130</f>
        <v>0</v>
      </c>
      <c r="BI130" s="13">
        <f>G130*AP130</f>
        <v>0</v>
      </c>
      <c r="BJ130" s="13">
        <f>G130*H130</f>
        <v>0</v>
      </c>
      <c r="BK130" s="13"/>
      <c r="BL130" s="13">
        <v>725</v>
      </c>
      <c r="BW130" s="13">
        <v>21</v>
      </c>
    </row>
    <row r="131" spans="1:75" ht="13.5" customHeight="1" x14ac:dyDescent="0.25">
      <c r="A131" s="32"/>
      <c r="C131" s="80" t="s">
        <v>49</v>
      </c>
      <c r="D131" s="113" t="s">
        <v>175</v>
      </c>
      <c r="E131" s="114"/>
      <c r="F131" s="114"/>
      <c r="G131" s="114"/>
      <c r="H131" s="184"/>
      <c r="I131" s="114"/>
      <c r="J131" s="114"/>
      <c r="K131" s="185"/>
    </row>
    <row r="132" spans="1:75" ht="13.5" customHeight="1" x14ac:dyDescent="0.25">
      <c r="A132" s="1" t="s">
        <v>333</v>
      </c>
      <c r="B132" s="2" t="s">
        <v>26</v>
      </c>
      <c r="C132" s="2" t="s">
        <v>334</v>
      </c>
      <c r="D132" s="95" t="s">
        <v>335</v>
      </c>
      <c r="E132" s="88"/>
      <c r="F132" s="2" t="s">
        <v>107</v>
      </c>
      <c r="G132" s="13">
        <v>1</v>
      </c>
      <c r="H132" s="78">
        <v>0</v>
      </c>
      <c r="I132" s="13">
        <f>G132*H132</f>
        <v>0</v>
      </c>
      <c r="K132" s="34"/>
      <c r="Z132" s="13">
        <f>IF(AQ132="5",BJ132,0)</f>
        <v>0</v>
      </c>
      <c r="AB132" s="13">
        <f>IF(AQ132="1",BH132,0)</f>
        <v>0</v>
      </c>
      <c r="AC132" s="13">
        <f>IF(AQ132="1",BI132,0)</f>
        <v>0</v>
      </c>
      <c r="AD132" s="13">
        <f>IF(AQ132="7",BH132,0)</f>
        <v>0</v>
      </c>
      <c r="AE132" s="13">
        <f>IF(AQ132="7",BI132,0)</f>
        <v>0</v>
      </c>
      <c r="AF132" s="13">
        <f>IF(AQ132="2",BH132,0)</f>
        <v>0</v>
      </c>
      <c r="AG132" s="13">
        <f>IF(AQ132="2",BI132,0)</f>
        <v>0</v>
      </c>
      <c r="AH132" s="13">
        <f>IF(AQ132="0",BJ132,0)</f>
        <v>0</v>
      </c>
      <c r="AI132" s="30" t="s">
        <v>26</v>
      </c>
      <c r="AJ132" s="13">
        <f>IF(AN132=0,I132,0)</f>
        <v>0</v>
      </c>
      <c r="AK132" s="13">
        <f>IF(AN132=12,I132,0)</f>
        <v>0</v>
      </c>
      <c r="AL132" s="13">
        <f>IF(AN132=21,I132,0)</f>
        <v>0</v>
      </c>
      <c r="AN132" s="13">
        <v>21</v>
      </c>
      <c r="AO132" s="13">
        <f>H132*0</f>
        <v>0</v>
      </c>
      <c r="AP132" s="13">
        <f>H132*(1-0)</f>
        <v>0</v>
      </c>
      <c r="AQ132" s="79" t="s">
        <v>75</v>
      </c>
      <c r="AV132" s="13">
        <f>AW132+AX132</f>
        <v>0</v>
      </c>
      <c r="AW132" s="13">
        <f>G132*AO132</f>
        <v>0</v>
      </c>
      <c r="AX132" s="13">
        <f>G132*AP132</f>
        <v>0</v>
      </c>
      <c r="AY132" s="79" t="s">
        <v>830</v>
      </c>
      <c r="AZ132" s="79" t="s">
        <v>824</v>
      </c>
      <c r="BA132" s="30" t="s">
        <v>801</v>
      </c>
      <c r="BC132" s="13">
        <f>AW132+AX132</f>
        <v>0</v>
      </c>
      <c r="BD132" s="13">
        <f>H132/(100-BE132)*100</f>
        <v>0</v>
      </c>
      <c r="BE132" s="13">
        <v>0</v>
      </c>
      <c r="BF132" s="13">
        <f>132</f>
        <v>132</v>
      </c>
      <c r="BH132" s="13">
        <f>G132*AO132</f>
        <v>0</v>
      </c>
      <c r="BI132" s="13">
        <f>G132*AP132</f>
        <v>0</v>
      </c>
      <c r="BJ132" s="13">
        <f>G132*H132</f>
        <v>0</v>
      </c>
      <c r="BK132" s="13"/>
      <c r="BL132" s="13">
        <v>725</v>
      </c>
      <c r="BW132" s="13">
        <v>21</v>
      </c>
    </row>
    <row r="133" spans="1:75" ht="13.5" customHeight="1" x14ac:dyDescent="0.25">
      <c r="A133" s="32"/>
      <c r="C133" s="80" t="s">
        <v>49</v>
      </c>
      <c r="D133" s="113" t="s">
        <v>175</v>
      </c>
      <c r="E133" s="114"/>
      <c r="F133" s="114"/>
      <c r="G133" s="114"/>
      <c r="H133" s="184"/>
      <c r="I133" s="114"/>
      <c r="J133" s="114"/>
      <c r="K133" s="185"/>
    </row>
    <row r="134" spans="1:75" ht="13.5" customHeight="1" x14ac:dyDescent="0.25">
      <c r="A134" s="1" t="s">
        <v>336</v>
      </c>
      <c r="B134" s="2" t="s">
        <v>26</v>
      </c>
      <c r="C134" s="2" t="s">
        <v>337</v>
      </c>
      <c r="D134" s="95" t="s">
        <v>338</v>
      </c>
      <c r="E134" s="88"/>
      <c r="F134" s="2" t="s">
        <v>107</v>
      </c>
      <c r="G134" s="13">
        <v>1</v>
      </c>
      <c r="H134" s="78">
        <v>0</v>
      </c>
      <c r="I134" s="13">
        <f>G134*H134</f>
        <v>0</v>
      </c>
      <c r="K134" s="34"/>
      <c r="Z134" s="13">
        <f>IF(AQ134="5",BJ134,0)</f>
        <v>0</v>
      </c>
      <c r="AB134" s="13">
        <f>IF(AQ134="1",BH134,0)</f>
        <v>0</v>
      </c>
      <c r="AC134" s="13">
        <f>IF(AQ134="1",BI134,0)</f>
        <v>0</v>
      </c>
      <c r="AD134" s="13">
        <f>IF(AQ134="7",BH134,0)</f>
        <v>0</v>
      </c>
      <c r="AE134" s="13">
        <f>IF(AQ134="7",BI134,0)</f>
        <v>0</v>
      </c>
      <c r="AF134" s="13">
        <f>IF(AQ134="2",BH134,0)</f>
        <v>0</v>
      </c>
      <c r="AG134" s="13">
        <f>IF(AQ134="2",BI134,0)</f>
        <v>0</v>
      </c>
      <c r="AH134" s="13">
        <f>IF(AQ134="0",BJ134,0)</f>
        <v>0</v>
      </c>
      <c r="AI134" s="30" t="s">
        <v>26</v>
      </c>
      <c r="AJ134" s="13">
        <f>IF(AN134=0,I134,0)</f>
        <v>0</v>
      </c>
      <c r="AK134" s="13">
        <f>IF(AN134=12,I134,0)</f>
        <v>0</v>
      </c>
      <c r="AL134" s="13">
        <f>IF(AN134=21,I134,0)</f>
        <v>0</v>
      </c>
      <c r="AN134" s="13">
        <v>21</v>
      </c>
      <c r="AO134" s="13">
        <f>H134*0</f>
        <v>0</v>
      </c>
      <c r="AP134" s="13">
        <f>H134*(1-0)</f>
        <v>0</v>
      </c>
      <c r="AQ134" s="79" t="s">
        <v>75</v>
      </c>
      <c r="AV134" s="13">
        <f>AW134+AX134</f>
        <v>0</v>
      </c>
      <c r="AW134" s="13">
        <f>G134*AO134</f>
        <v>0</v>
      </c>
      <c r="AX134" s="13">
        <f>G134*AP134</f>
        <v>0</v>
      </c>
      <c r="AY134" s="79" t="s">
        <v>830</v>
      </c>
      <c r="AZ134" s="79" t="s">
        <v>824</v>
      </c>
      <c r="BA134" s="30" t="s">
        <v>801</v>
      </c>
      <c r="BC134" s="13">
        <f>AW134+AX134</f>
        <v>0</v>
      </c>
      <c r="BD134" s="13">
        <f>H134/(100-BE134)*100</f>
        <v>0</v>
      </c>
      <c r="BE134" s="13">
        <v>0</v>
      </c>
      <c r="BF134" s="13">
        <f>134</f>
        <v>134</v>
      </c>
      <c r="BH134" s="13">
        <f>G134*AO134</f>
        <v>0</v>
      </c>
      <c r="BI134" s="13">
        <f>G134*AP134</f>
        <v>0</v>
      </c>
      <c r="BJ134" s="13">
        <f>G134*H134</f>
        <v>0</v>
      </c>
      <c r="BK134" s="13"/>
      <c r="BL134" s="13">
        <v>725</v>
      </c>
      <c r="BW134" s="13">
        <v>21</v>
      </c>
    </row>
    <row r="135" spans="1:75" ht="13.5" customHeight="1" x14ac:dyDescent="0.25">
      <c r="A135" s="32"/>
      <c r="C135" s="80" t="s">
        <v>49</v>
      </c>
      <c r="D135" s="113" t="s">
        <v>175</v>
      </c>
      <c r="E135" s="114"/>
      <c r="F135" s="114"/>
      <c r="G135" s="114"/>
      <c r="H135" s="184"/>
      <c r="I135" s="114"/>
      <c r="J135" s="114"/>
      <c r="K135" s="185"/>
    </row>
    <row r="136" spans="1:75" ht="13.5" customHeight="1" x14ac:dyDescent="0.25">
      <c r="A136" s="1" t="s">
        <v>339</v>
      </c>
      <c r="B136" s="2" t="s">
        <v>26</v>
      </c>
      <c r="C136" s="2" t="s">
        <v>340</v>
      </c>
      <c r="D136" s="95" t="s">
        <v>341</v>
      </c>
      <c r="E136" s="88"/>
      <c r="F136" s="2" t="s">
        <v>231</v>
      </c>
      <c r="G136" s="13">
        <v>900.09</v>
      </c>
      <c r="H136" s="78">
        <v>0</v>
      </c>
      <c r="I136" s="13">
        <f>G136*H136</f>
        <v>0</v>
      </c>
      <c r="K136" s="34"/>
      <c r="Z136" s="13">
        <f>IF(AQ136="5",BJ136,0)</f>
        <v>0</v>
      </c>
      <c r="AB136" s="13">
        <f>IF(AQ136="1",BH136,0)</f>
        <v>0</v>
      </c>
      <c r="AC136" s="13">
        <f>IF(AQ136="1",BI136,0)</f>
        <v>0</v>
      </c>
      <c r="AD136" s="13">
        <f>IF(AQ136="7",BH136,0)</f>
        <v>0</v>
      </c>
      <c r="AE136" s="13">
        <f>IF(AQ136="7",BI136,0)</f>
        <v>0</v>
      </c>
      <c r="AF136" s="13">
        <f>IF(AQ136="2",BH136,0)</f>
        <v>0</v>
      </c>
      <c r="AG136" s="13">
        <f>IF(AQ136="2",BI136,0)</f>
        <v>0</v>
      </c>
      <c r="AH136" s="13">
        <f>IF(AQ136="0",BJ136,0)</f>
        <v>0</v>
      </c>
      <c r="AI136" s="30" t="s">
        <v>26</v>
      </c>
      <c r="AJ136" s="13">
        <f>IF(AN136=0,I136,0)</f>
        <v>0</v>
      </c>
      <c r="AK136" s="13">
        <f>IF(AN136=12,I136,0)</f>
        <v>0</v>
      </c>
      <c r="AL136" s="13">
        <f>IF(AN136=21,I136,0)</f>
        <v>0</v>
      </c>
      <c r="AN136" s="13">
        <v>21</v>
      </c>
      <c r="AO136" s="13">
        <f>H136*0</f>
        <v>0</v>
      </c>
      <c r="AP136" s="13">
        <f>H136*(1-0)</f>
        <v>0</v>
      </c>
      <c r="AQ136" s="79" t="s">
        <v>70</v>
      </c>
      <c r="AV136" s="13">
        <f>AW136+AX136</f>
        <v>0</v>
      </c>
      <c r="AW136" s="13">
        <f>G136*AO136</f>
        <v>0</v>
      </c>
      <c r="AX136" s="13">
        <f>G136*AP136</f>
        <v>0</v>
      </c>
      <c r="AY136" s="79" t="s">
        <v>830</v>
      </c>
      <c r="AZ136" s="79" t="s">
        <v>824</v>
      </c>
      <c r="BA136" s="30" t="s">
        <v>801</v>
      </c>
      <c r="BC136" s="13">
        <f>AW136+AX136</f>
        <v>0</v>
      </c>
      <c r="BD136" s="13">
        <f>H136/(100-BE136)*100</f>
        <v>0</v>
      </c>
      <c r="BE136" s="13">
        <v>0</v>
      </c>
      <c r="BF136" s="13">
        <f>136</f>
        <v>136</v>
      </c>
      <c r="BH136" s="13">
        <f>G136*AO136</f>
        <v>0</v>
      </c>
      <c r="BI136" s="13">
        <f>G136*AP136</f>
        <v>0</v>
      </c>
      <c r="BJ136" s="13">
        <f>G136*H136</f>
        <v>0</v>
      </c>
      <c r="BK136" s="13"/>
      <c r="BL136" s="13">
        <v>725</v>
      </c>
      <c r="BW136" s="13">
        <v>21</v>
      </c>
    </row>
    <row r="137" spans="1:75" x14ac:dyDescent="0.25">
      <c r="A137" s="75" t="s">
        <v>20</v>
      </c>
      <c r="B137" s="29" t="s">
        <v>26</v>
      </c>
      <c r="C137" s="29" t="s">
        <v>342</v>
      </c>
      <c r="D137" s="183" t="s">
        <v>343</v>
      </c>
      <c r="E137" s="112"/>
      <c r="F137" s="76" t="s">
        <v>13</v>
      </c>
      <c r="G137" s="76" t="s">
        <v>13</v>
      </c>
      <c r="H137" s="77" t="s">
        <v>13</v>
      </c>
      <c r="I137" s="61">
        <f>SUM(I138:I139)</f>
        <v>0</v>
      </c>
      <c r="K137" s="34"/>
      <c r="AI137" s="30" t="s">
        <v>26</v>
      </c>
      <c r="AS137" s="61">
        <f>SUM(AJ138:AJ139)</f>
        <v>0</v>
      </c>
      <c r="AT137" s="61">
        <f>SUM(AK138:AK139)</f>
        <v>0</v>
      </c>
      <c r="AU137" s="61">
        <f>SUM(AL138:AL139)</f>
        <v>0</v>
      </c>
    </row>
    <row r="138" spans="1:75" ht="13.5" customHeight="1" x14ac:dyDescent="0.25">
      <c r="A138" s="1" t="s">
        <v>344</v>
      </c>
      <c r="B138" s="2" t="s">
        <v>26</v>
      </c>
      <c r="C138" s="2" t="s">
        <v>345</v>
      </c>
      <c r="D138" s="95" t="s">
        <v>346</v>
      </c>
      <c r="E138" s="88"/>
      <c r="F138" s="2" t="s">
        <v>61</v>
      </c>
      <c r="G138" s="13">
        <v>5</v>
      </c>
      <c r="H138" s="78">
        <v>0</v>
      </c>
      <c r="I138" s="13">
        <f>G138*H138</f>
        <v>0</v>
      </c>
      <c r="K138" s="34"/>
      <c r="Z138" s="13">
        <f>IF(AQ138="5",BJ138,0)</f>
        <v>0</v>
      </c>
      <c r="AB138" s="13">
        <f>IF(AQ138="1",BH138,0)</f>
        <v>0</v>
      </c>
      <c r="AC138" s="13">
        <f>IF(AQ138="1",BI138,0)</f>
        <v>0</v>
      </c>
      <c r="AD138" s="13">
        <f>IF(AQ138="7",BH138,0)</f>
        <v>0</v>
      </c>
      <c r="AE138" s="13">
        <f>IF(AQ138="7",BI138,0)</f>
        <v>0</v>
      </c>
      <c r="AF138" s="13">
        <f>IF(AQ138="2",BH138,0)</f>
        <v>0</v>
      </c>
      <c r="AG138" s="13">
        <f>IF(AQ138="2",BI138,0)</f>
        <v>0</v>
      </c>
      <c r="AH138" s="13">
        <f>IF(AQ138="0",BJ138,0)</f>
        <v>0</v>
      </c>
      <c r="AI138" s="30" t="s">
        <v>26</v>
      </c>
      <c r="AJ138" s="13">
        <f>IF(AN138=0,I138,0)</f>
        <v>0</v>
      </c>
      <c r="AK138" s="13">
        <f>IF(AN138=12,I138,0)</f>
        <v>0</v>
      </c>
      <c r="AL138" s="13">
        <f>IF(AN138=21,I138,0)</f>
        <v>0</v>
      </c>
      <c r="AN138" s="13">
        <v>21</v>
      </c>
      <c r="AO138" s="13">
        <f>H138*0.880430786</f>
        <v>0</v>
      </c>
      <c r="AP138" s="13">
        <f>H138*(1-0.880430786)</f>
        <v>0</v>
      </c>
      <c r="AQ138" s="79" t="s">
        <v>75</v>
      </c>
      <c r="AV138" s="13">
        <f>AW138+AX138</f>
        <v>0</v>
      </c>
      <c r="AW138" s="13">
        <f>G138*AO138</f>
        <v>0</v>
      </c>
      <c r="AX138" s="13">
        <f>G138*AP138</f>
        <v>0</v>
      </c>
      <c r="AY138" s="79" t="s">
        <v>834</v>
      </c>
      <c r="AZ138" s="79" t="s">
        <v>824</v>
      </c>
      <c r="BA138" s="30" t="s">
        <v>801</v>
      </c>
      <c r="BC138" s="13">
        <f>AW138+AX138</f>
        <v>0</v>
      </c>
      <c r="BD138" s="13">
        <f>H138/(100-BE138)*100</f>
        <v>0</v>
      </c>
      <c r="BE138" s="13">
        <v>0</v>
      </c>
      <c r="BF138" s="13">
        <f>138</f>
        <v>138</v>
      </c>
      <c r="BH138" s="13">
        <f>G138*AO138</f>
        <v>0</v>
      </c>
      <c r="BI138" s="13">
        <f>G138*AP138</f>
        <v>0</v>
      </c>
      <c r="BJ138" s="13">
        <f>G138*H138</f>
        <v>0</v>
      </c>
      <c r="BK138" s="13"/>
      <c r="BL138" s="13">
        <v>726</v>
      </c>
      <c r="BW138" s="13">
        <v>21</v>
      </c>
    </row>
    <row r="139" spans="1:75" ht="13.5" customHeight="1" x14ac:dyDescent="0.25">
      <c r="A139" s="1" t="s">
        <v>347</v>
      </c>
      <c r="B139" s="2" t="s">
        <v>26</v>
      </c>
      <c r="C139" s="2" t="s">
        <v>348</v>
      </c>
      <c r="D139" s="95" t="s">
        <v>349</v>
      </c>
      <c r="E139" s="88"/>
      <c r="F139" s="2" t="s">
        <v>231</v>
      </c>
      <c r="G139" s="13">
        <v>368.75</v>
      </c>
      <c r="H139" s="78">
        <v>0</v>
      </c>
      <c r="I139" s="13">
        <f>G139*H139</f>
        <v>0</v>
      </c>
      <c r="K139" s="34"/>
      <c r="Z139" s="13">
        <f>IF(AQ139="5",BJ139,0)</f>
        <v>0</v>
      </c>
      <c r="AB139" s="13">
        <f>IF(AQ139="1",BH139,0)</f>
        <v>0</v>
      </c>
      <c r="AC139" s="13">
        <f>IF(AQ139="1",BI139,0)</f>
        <v>0</v>
      </c>
      <c r="AD139" s="13">
        <f>IF(AQ139="7",BH139,0)</f>
        <v>0</v>
      </c>
      <c r="AE139" s="13">
        <f>IF(AQ139="7",BI139,0)</f>
        <v>0</v>
      </c>
      <c r="AF139" s="13">
        <f>IF(AQ139="2",BH139,0)</f>
        <v>0</v>
      </c>
      <c r="AG139" s="13">
        <f>IF(AQ139="2",BI139,0)</f>
        <v>0</v>
      </c>
      <c r="AH139" s="13">
        <f>IF(AQ139="0",BJ139,0)</f>
        <v>0</v>
      </c>
      <c r="AI139" s="30" t="s">
        <v>26</v>
      </c>
      <c r="AJ139" s="13">
        <f>IF(AN139=0,I139,0)</f>
        <v>0</v>
      </c>
      <c r="AK139" s="13">
        <f>IF(AN139=12,I139,0)</f>
        <v>0</v>
      </c>
      <c r="AL139" s="13">
        <f>IF(AN139=21,I139,0)</f>
        <v>0</v>
      </c>
      <c r="AN139" s="13">
        <v>21</v>
      </c>
      <c r="AO139" s="13">
        <f>H139*0</f>
        <v>0</v>
      </c>
      <c r="AP139" s="13">
        <f>H139*(1-0)</f>
        <v>0</v>
      </c>
      <c r="AQ139" s="79" t="s">
        <v>70</v>
      </c>
      <c r="AV139" s="13">
        <f>AW139+AX139</f>
        <v>0</v>
      </c>
      <c r="AW139" s="13">
        <f>G139*AO139</f>
        <v>0</v>
      </c>
      <c r="AX139" s="13">
        <f>G139*AP139</f>
        <v>0</v>
      </c>
      <c r="AY139" s="79" t="s">
        <v>834</v>
      </c>
      <c r="AZ139" s="79" t="s">
        <v>824</v>
      </c>
      <c r="BA139" s="30" t="s">
        <v>801</v>
      </c>
      <c r="BC139" s="13">
        <f>AW139+AX139</f>
        <v>0</v>
      </c>
      <c r="BD139" s="13">
        <f>H139/(100-BE139)*100</f>
        <v>0</v>
      </c>
      <c r="BE139" s="13">
        <v>0</v>
      </c>
      <c r="BF139" s="13">
        <f>139</f>
        <v>139</v>
      </c>
      <c r="BH139" s="13">
        <f>G139*AO139</f>
        <v>0</v>
      </c>
      <c r="BI139" s="13">
        <f>G139*AP139</f>
        <v>0</v>
      </c>
      <c r="BJ139" s="13">
        <f>G139*H139</f>
        <v>0</v>
      </c>
      <c r="BK139" s="13"/>
      <c r="BL139" s="13">
        <v>726</v>
      </c>
      <c r="BW139" s="13">
        <v>21</v>
      </c>
    </row>
    <row r="140" spans="1:75" x14ac:dyDescent="0.25">
      <c r="A140" s="75" t="s">
        <v>20</v>
      </c>
      <c r="B140" s="29" t="s">
        <v>26</v>
      </c>
      <c r="C140" s="29" t="s">
        <v>350</v>
      </c>
      <c r="D140" s="183" t="s">
        <v>351</v>
      </c>
      <c r="E140" s="112"/>
      <c r="F140" s="76" t="s">
        <v>13</v>
      </c>
      <c r="G140" s="76" t="s">
        <v>13</v>
      </c>
      <c r="H140" s="77" t="s">
        <v>13</v>
      </c>
      <c r="I140" s="61">
        <f>SUM(I141:I141)</f>
        <v>0</v>
      </c>
      <c r="K140" s="34"/>
      <c r="AI140" s="30" t="s">
        <v>26</v>
      </c>
      <c r="AS140" s="61">
        <f>SUM(AJ141:AJ141)</f>
        <v>0</v>
      </c>
      <c r="AT140" s="61">
        <f>SUM(AK141:AK141)</f>
        <v>0</v>
      </c>
      <c r="AU140" s="61">
        <f>SUM(AL141:AL141)</f>
        <v>0</v>
      </c>
    </row>
    <row r="141" spans="1:75" ht="13.5" customHeight="1" x14ac:dyDescent="0.25">
      <c r="A141" s="1" t="s">
        <v>352</v>
      </c>
      <c r="B141" s="2" t="s">
        <v>26</v>
      </c>
      <c r="C141" s="2" t="s">
        <v>353</v>
      </c>
      <c r="D141" s="95" t="s">
        <v>354</v>
      </c>
      <c r="E141" s="88"/>
      <c r="F141" s="2" t="s">
        <v>61</v>
      </c>
      <c r="G141" s="13">
        <v>1</v>
      </c>
      <c r="H141" s="78">
        <v>0</v>
      </c>
      <c r="I141" s="13">
        <f>G141*H141</f>
        <v>0</v>
      </c>
      <c r="K141" s="34"/>
      <c r="Z141" s="13">
        <f>IF(AQ141="5",BJ141,0)</f>
        <v>0</v>
      </c>
      <c r="AB141" s="13">
        <f>IF(AQ141="1",BH141,0)</f>
        <v>0</v>
      </c>
      <c r="AC141" s="13">
        <f>IF(AQ141="1",BI141,0)</f>
        <v>0</v>
      </c>
      <c r="AD141" s="13">
        <f>IF(AQ141="7",BH141,0)</f>
        <v>0</v>
      </c>
      <c r="AE141" s="13">
        <f>IF(AQ141="7",BI141,0)</f>
        <v>0</v>
      </c>
      <c r="AF141" s="13">
        <f>IF(AQ141="2",BH141,0)</f>
        <v>0</v>
      </c>
      <c r="AG141" s="13">
        <f>IF(AQ141="2",BI141,0)</f>
        <v>0</v>
      </c>
      <c r="AH141" s="13">
        <f>IF(AQ141="0",BJ141,0)</f>
        <v>0</v>
      </c>
      <c r="AI141" s="30" t="s">
        <v>26</v>
      </c>
      <c r="AJ141" s="13">
        <f>IF(AN141=0,I141,0)</f>
        <v>0</v>
      </c>
      <c r="AK141" s="13">
        <f>IF(AN141=12,I141,0)</f>
        <v>0</v>
      </c>
      <c r="AL141" s="13">
        <f>IF(AN141=21,I141,0)</f>
        <v>0</v>
      </c>
      <c r="AN141" s="13">
        <v>21</v>
      </c>
      <c r="AO141" s="13">
        <f>H141*0</f>
        <v>0</v>
      </c>
      <c r="AP141" s="13">
        <f>H141*(1-0)</f>
        <v>0</v>
      </c>
      <c r="AQ141" s="79" t="s">
        <v>75</v>
      </c>
      <c r="AV141" s="13">
        <f>AW141+AX141</f>
        <v>0</v>
      </c>
      <c r="AW141" s="13">
        <f>G141*AO141</f>
        <v>0</v>
      </c>
      <c r="AX141" s="13">
        <f>G141*AP141</f>
        <v>0</v>
      </c>
      <c r="AY141" s="79" t="s">
        <v>835</v>
      </c>
      <c r="AZ141" s="79" t="s">
        <v>824</v>
      </c>
      <c r="BA141" s="30" t="s">
        <v>801</v>
      </c>
      <c r="BC141" s="13">
        <f>AW141+AX141</f>
        <v>0</v>
      </c>
      <c r="BD141" s="13">
        <f>H141/(100-BE141)*100</f>
        <v>0</v>
      </c>
      <c r="BE141" s="13">
        <v>0</v>
      </c>
      <c r="BF141" s="13">
        <f>141</f>
        <v>141</v>
      </c>
      <c r="BH141" s="13">
        <f>G141*AO141</f>
        <v>0</v>
      </c>
      <c r="BI141" s="13">
        <f>G141*AP141</f>
        <v>0</v>
      </c>
      <c r="BJ141" s="13">
        <f>G141*H141</f>
        <v>0</v>
      </c>
      <c r="BK141" s="13"/>
      <c r="BL141" s="13">
        <v>728</v>
      </c>
      <c r="BW141" s="13">
        <v>21</v>
      </c>
    </row>
    <row r="142" spans="1:75" x14ac:dyDescent="0.25">
      <c r="A142" s="75" t="s">
        <v>20</v>
      </c>
      <c r="B142" s="29" t="s">
        <v>26</v>
      </c>
      <c r="C142" s="29" t="s">
        <v>355</v>
      </c>
      <c r="D142" s="183" t="s">
        <v>356</v>
      </c>
      <c r="E142" s="112"/>
      <c r="F142" s="76" t="s">
        <v>13</v>
      </c>
      <c r="G142" s="76" t="s">
        <v>13</v>
      </c>
      <c r="H142" s="77" t="s">
        <v>13</v>
      </c>
      <c r="I142" s="61">
        <f>SUM(I143:I144)</f>
        <v>0</v>
      </c>
      <c r="K142" s="34"/>
      <c r="AI142" s="30" t="s">
        <v>26</v>
      </c>
      <c r="AS142" s="61">
        <f>SUM(AJ143:AJ144)</f>
        <v>0</v>
      </c>
      <c r="AT142" s="61">
        <f>SUM(AK143:AK144)</f>
        <v>0</v>
      </c>
      <c r="AU142" s="61">
        <f>SUM(AL143:AL144)</f>
        <v>0</v>
      </c>
    </row>
    <row r="143" spans="1:75" ht="13.5" customHeight="1" x14ac:dyDescent="0.25">
      <c r="A143" s="1" t="s">
        <v>357</v>
      </c>
      <c r="B143" s="2" t="s">
        <v>26</v>
      </c>
      <c r="C143" s="2" t="s">
        <v>358</v>
      </c>
      <c r="D143" s="95" t="s">
        <v>359</v>
      </c>
      <c r="E143" s="88"/>
      <c r="F143" s="2" t="s">
        <v>61</v>
      </c>
      <c r="G143" s="13">
        <v>1</v>
      </c>
      <c r="H143" s="78">
        <v>0</v>
      </c>
      <c r="I143" s="13">
        <f>G143*H143</f>
        <v>0</v>
      </c>
      <c r="K143" s="34"/>
      <c r="Z143" s="13">
        <f>IF(AQ143="5",BJ143,0)</f>
        <v>0</v>
      </c>
      <c r="AB143" s="13">
        <f>IF(AQ143="1",BH143,0)</f>
        <v>0</v>
      </c>
      <c r="AC143" s="13">
        <f>IF(AQ143="1",BI143,0)</f>
        <v>0</v>
      </c>
      <c r="AD143" s="13">
        <f>IF(AQ143="7",BH143,0)</f>
        <v>0</v>
      </c>
      <c r="AE143" s="13">
        <f>IF(AQ143="7",BI143,0)</f>
        <v>0</v>
      </c>
      <c r="AF143" s="13">
        <f>IF(AQ143="2",BH143,0)</f>
        <v>0</v>
      </c>
      <c r="AG143" s="13">
        <f>IF(AQ143="2",BI143,0)</f>
        <v>0</v>
      </c>
      <c r="AH143" s="13">
        <f>IF(AQ143="0",BJ143,0)</f>
        <v>0</v>
      </c>
      <c r="AI143" s="30" t="s">
        <v>26</v>
      </c>
      <c r="AJ143" s="13">
        <f>IF(AN143=0,I143,0)</f>
        <v>0</v>
      </c>
      <c r="AK143" s="13">
        <f>IF(AN143=12,I143,0)</f>
        <v>0</v>
      </c>
      <c r="AL143" s="13">
        <f>IF(AN143=21,I143,0)</f>
        <v>0</v>
      </c>
      <c r="AN143" s="13">
        <v>21</v>
      </c>
      <c r="AO143" s="13">
        <f>H143*0.954232877</f>
        <v>0</v>
      </c>
      <c r="AP143" s="13">
        <f>H143*(1-0.954232877)</f>
        <v>0</v>
      </c>
      <c r="AQ143" s="79" t="s">
        <v>75</v>
      </c>
      <c r="AV143" s="13">
        <f>AW143+AX143</f>
        <v>0</v>
      </c>
      <c r="AW143" s="13">
        <f>G143*AO143</f>
        <v>0</v>
      </c>
      <c r="AX143" s="13">
        <f>G143*AP143</f>
        <v>0</v>
      </c>
      <c r="AY143" s="79" t="s">
        <v>836</v>
      </c>
      <c r="AZ143" s="79" t="s">
        <v>837</v>
      </c>
      <c r="BA143" s="30" t="s">
        <v>801</v>
      </c>
      <c r="BC143" s="13">
        <f>AW143+AX143</f>
        <v>0</v>
      </c>
      <c r="BD143" s="13">
        <f>H143/(100-BE143)*100</f>
        <v>0</v>
      </c>
      <c r="BE143" s="13">
        <v>0</v>
      </c>
      <c r="BF143" s="13">
        <f>143</f>
        <v>143</v>
      </c>
      <c r="BH143" s="13">
        <f>G143*AO143</f>
        <v>0</v>
      </c>
      <c r="BI143" s="13">
        <f>G143*AP143</f>
        <v>0</v>
      </c>
      <c r="BJ143" s="13">
        <f>G143*H143</f>
        <v>0</v>
      </c>
      <c r="BK143" s="13"/>
      <c r="BL143" s="13">
        <v>732</v>
      </c>
      <c r="BW143" s="13">
        <v>21</v>
      </c>
    </row>
    <row r="144" spans="1:75" ht="13.5" customHeight="1" x14ac:dyDescent="0.25">
      <c r="A144" s="1" t="s">
        <v>360</v>
      </c>
      <c r="B144" s="2" t="s">
        <v>26</v>
      </c>
      <c r="C144" s="2" t="s">
        <v>361</v>
      </c>
      <c r="D144" s="95" t="s">
        <v>362</v>
      </c>
      <c r="E144" s="88"/>
      <c r="F144" s="2" t="s">
        <v>231</v>
      </c>
      <c r="G144" s="13">
        <v>73</v>
      </c>
      <c r="H144" s="78">
        <v>0</v>
      </c>
      <c r="I144" s="13">
        <f>G144*H144</f>
        <v>0</v>
      </c>
      <c r="K144" s="34"/>
      <c r="Z144" s="13">
        <f>IF(AQ144="5",BJ144,0)</f>
        <v>0</v>
      </c>
      <c r="AB144" s="13">
        <f>IF(AQ144="1",BH144,0)</f>
        <v>0</v>
      </c>
      <c r="AC144" s="13">
        <f>IF(AQ144="1",BI144,0)</f>
        <v>0</v>
      </c>
      <c r="AD144" s="13">
        <f>IF(AQ144="7",BH144,0)</f>
        <v>0</v>
      </c>
      <c r="AE144" s="13">
        <f>IF(AQ144="7",BI144,0)</f>
        <v>0</v>
      </c>
      <c r="AF144" s="13">
        <f>IF(AQ144="2",BH144,0)</f>
        <v>0</v>
      </c>
      <c r="AG144" s="13">
        <f>IF(AQ144="2",BI144,0)</f>
        <v>0</v>
      </c>
      <c r="AH144" s="13">
        <f>IF(AQ144="0",BJ144,0)</f>
        <v>0</v>
      </c>
      <c r="AI144" s="30" t="s">
        <v>26</v>
      </c>
      <c r="AJ144" s="13">
        <f>IF(AN144=0,I144,0)</f>
        <v>0</v>
      </c>
      <c r="AK144" s="13">
        <f>IF(AN144=12,I144,0)</f>
        <v>0</v>
      </c>
      <c r="AL144" s="13">
        <f>IF(AN144=21,I144,0)</f>
        <v>0</v>
      </c>
      <c r="AN144" s="13">
        <v>21</v>
      </c>
      <c r="AO144" s="13">
        <f>H144*0</f>
        <v>0</v>
      </c>
      <c r="AP144" s="13">
        <f>H144*(1-0)</f>
        <v>0</v>
      </c>
      <c r="AQ144" s="79" t="s">
        <v>70</v>
      </c>
      <c r="AV144" s="13">
        <f>AW144+AX144</f>
        <v>0</v>
      </c>
      <c r="AW144" s="13">
        <f>G144*AO144</f>
        <v>0</v>
      </c>
      <c r="AX144" s="13">
        <f>G144*AP144</f>
        <v>0</v>
      </c>
      <c r="AY144" s="79" t="s">
        <v>836</v>
      </c>
      <c r="AZ144" s="79" t="s">
        <v>837</v>
      </c>
      <c r="BA144" s="30" t="s">
        <v>801</v>
      </c>
      <c r="BC144" s="13">
        <f>AW144+AX144</f>
        <v>0</v>
      </c>
      <c r="BD144" s="13">
        <f>H144/(100-BE144)*100</f>
        <v>0</v>
      </c>
      <c r="BE144" s="13">
        <v>0</v>
      </c>
      <c r="BF144" s="13">
        <f>144</f>
        <v>144</v>
      </c>
      <c r="BH144" s="13">
        <f>G144*AO144</f>
        <v>0</v>
      </c>
      <c r="BI144" s="13">
        <f>G144*AP144</f>
        <v>0</v>
      </c>
      <c r="BJ144" s="13">
        <f>G144*H144</f>
        <v>0</v>
      </c>
      <c r="BK144" s="13"/>
      <c r="BL144" s="13">
        <v>732</v>
      </c>
      <c r="BW144" s="13">
        <v>21</v>
      </c>
    </row>
    <row r="145" spans="1:75" x14ac:dyDescent="0.25">
      <c r="A145" s="75" t="s">
        <v>20</v>
      </c>
      <c r="B145" s="29" t="s">
        <v>26</v>
      </c>
      <c r="C145" s="29" t="s">
        <v>363</v>
      </c>
      <c r="D145" s="183" t="s">
        <v>364</v>
      </c>
      <c r="E145" s="112"/>
      <c r="F145" s="76" t="s">
        <v>13</v>
      </c>
      <c r="G145" s="76" t="s">
        <v>13</v>
      </c>
      <c r="H145" s="77" t="s">
        <v>13</v>
      </c>
      <c r="I145" s="61">
        <f>SUM(I146:I158)</f>
        <v>0</v>
      </c>
      <c r="K145" s="34"/>
      <c r="AI145" s="30" t="s">
        <v>26</v>
      </c>
      <c r="AS145" s="61">
        <f>SUM(AJ146:AJ158)</f>
        <v>0</v>
      </c>
      <c r="AT145" s="61">
        <f>SUM(AK146:AK158)</f>
        <v>0</v>
      </c>
      <c r="AU145" s="61">
        <f>SUM(AL146:AL158)</f>
        <v>0</v>
      </c>
    </row>
    <row r="146" spans="1:75" ht="13.5" customHeight="1" x14ac:dyDescent="0.25">
      <c r="A146" s="1" t="s">
        <v>365</v>
      </c>
      <c r="B146" s="2" t="s">
        <v>26</v>
      </c>
      <c r="C146" s="2" t="s">
        <v>366</v>
      </c>
      <c r="D146" s="95" t="s">
        <v>367</v>
      </c>
      <c r="E146" s="88"/>
      <c r="F146" s="2" t="s">
        <v>127</v>
      </c>
      <c r="G146" s="13">
        <v>11</v>
      </c>
      <c r="H146" s="78">
        <v>0</v>
      </c>
      <c r="I146" s="13">
        <f t="shared" ref="I146:I151" si="42">G146*H146</f>
        <v>0</v>
      </c>
      <c r="K146" s="34"/>
      <c r="Z146" s="13">
        <f t="shared" ref="Z146:Z151" si="43">IF(AQ146="5",BJ146,0)</f>
        <v>0</v>
      </c>
      <c r="AB146" s="13">
        <f t="shared" ref="AB146:AB151" si="44">IF(AQ146="1",BH146,0)</f>
        <v>0</v>
      </c>
      <c r="AC146" s="13">
        <f t="shared" ref="AC146:AC151" si="45">IF(AQ146="1",BI146,0)</f>
        <v>0</v>
      </c>
      <c r="AD146" s="13">
        <f t="shared" ref="AD146:AD151" si="46">IF(AQ146="7",BH146,0)</f>
        <v>0</v>
      </c>
      <c r="AE146" s="13">
        <f t="shared" ref="AE146:AE151" si="47">IF(AQ146="7",BI146,0)</f>
        <v>0</v>
      </c>
      <c r="AF146" s="13">
        <f t="shared" ref="AF146:AF151" si="48">IF(AQ146="2",BH146,0)</f>
        <v>0</v>
      </c>
      <c r="AG146" s="13">
        <f t="shared" ref="AG146:AG151" si="49">IF(AQ146="2",BI146,0)</f>
        <v>0</v>
      </c>
      <c r="AH146" s="13">
        <f t="shared" ref="AH146:AH151" si="50">IF(AQ146="0",BJ146,0)</f>
        <v>0</v>
      </c>
      <c r="AI146" s="30" t="s">
        <v>26</v>
      </c>
      <c r="AJ146" s="13">
        <f t="shared" ref="AJ146:AJ151" si="51">IF(AN146=0,I146,0)</f>
        <v>0</v>
      </c>
      <c r="AK146" s="13">
        <f t="shared" ref="AK146:AK151" si="52">IF(AN146=12,I146,0)</f>
        <v>0</v>
      </c>
      <c r="AL146" s="13">
        <f t="shared" ref="AL146:AL151" si="53">IF(AN146=21,I146,0)</f>
        <v>0</v>
      </c>
      <c r="AN146" s="13">
        <v>21</v>
      </c>
      <c r="AO146" s="13">
        <f>H146*0.609034496</f>
        <v>0</v>
      </c>
      <c r="AP146" s="13">
        <f>H146*(1-0.609034496)</f>
        <v>0</v>
      </c>
      <c r="AQ146" s="79" t="s">
        <v>75</v>
      </c>
      <c r="AV146" s="13">
        <f t="shared" ref="AV146:AV151" si="54">AW146+AX146</f>
        <v>0</v>
      </c>
      <c r="AW146" s="13">
        <f t="shared" ref="AW146:AW151" si="55">G146*AO146</f>
        <v>0</v>
      </c>
      <c r="AX146" s="13">
        <f t="shared" ref="AX146:AX151" si="56">G146*AP146</f>
        <v>0</v>
      </c>
      <c r="AY146" s="79" t="s">
        <v>838</v>
      </c>
      <c r="AZ146" s="79" t="s">
        <v>837</v>
      </c>
      <c r="BA146" s="30" t="s">
        <v>801</v>
      </c>
      <c r="BC146" s="13">
        <f t="shared" ref="BC146:BC151" si="57">AW146+AX146</f>
        <v>0</v>
      </c>
      <c r="BD146" s="13">
        <f t="shared" ref="BD146:BD151" si="58">H146/(100-BE146)*100</f>
        <v>0</v>
      </c>
      <c r="BE146" s="13">
        <v>0</v>
      </c>
      <c r="BF146" s="13">
        <f>146</f>
        <v>146</v>
      </c>
      <c r="BH146" s="13">
        <f t="shared" ref="BH146:BH151" si="59">G146*AO146</f>
        <v>0</v>
      </c>
      <c r="BI146" s="13">
        <f t="shared" ref="BI146:BI151" si="60">G146*AP146</f>
        <v>0</v>
      </c>
      <c r="BJ146" s="13">
        <f t="shared" ref="BJ146:BJ151" si="61">G146*H146</f>
        <v>0</v>
      </c>
      <c r="BK146" s="13"/>
      <c r="BL146" s="13">
        <v>733</v>
      </c>
      <c r="BW146" s="13">
        <v>21</v>
      </c>
    </row>
    <row r="147" spans="1:75" ht="13.5" customHeight="1" x14ac:dyDescent="0.25">
      <c r="A147" s="1" t="s">
        <v>368</v>
      </c>
      <c r="B147" s="2" t="s">
        <v>26</v>
      </c>
      <c r="C147" s="2" t="s">
        <v>369</v>
      </c>
      <c r="D147" s="95" t="s">
        <v>370</v>
      </c>
      <c r="E147" s="88"/>
      <c r="F147" s="2" t="s">
        <v>127</v>
      </c>
      <c r="G147" s="13">
        <v>11</v>
      </c>
      <c r="H147" s="78">
        <v>0</v>
      </c>
      <c r="I147" s="13">
        <f t="shared" si="42"/>
        <v>0</v>
      </c>
      <c r="K147" s="34"/>
      <c r="Z147" s="13">
        <f t="shared" si="43"/>
        <v>0</v>
      </c>
      <c r="AB147" s="13">
        <f t="shared" si="44"/>
        <v>0</v>
      </c>
      <c r="AC147" s="13">
        <f t="shared" si="45"/>
        <v>0</v>
      </c>
      <c r="AD147" s="13">
        <f t="shared" si="46"/>
        <v>0</v>
      </c>
      <c r="AE147" s="13">
        <f t="shared" si="47"/>
        <v>0</v>
      </c>
      <c r="AF147" s="13">
        <f t="shared" si="48"/>
        <v>0</v>
      </c>
      <c r="AG147" s="13">
        <f t="shared" si="49"/>
        <v>0</v>
      </c>
      <c r="AH147" s="13">
        <f t="shared" si="50"/>
        <v>0</v>
      </c>
      <c r="AI147" s="30" t="s">
        <v>26</v>
      </c>
      <c r="AJ147" s="13">
        <f t="shared" si="51"/>
        <v>0</v>
      </c>
      <c r="AK147" s="13">
        <f t="shared" si="52"/>
        <v>0</v>
      </c>
      <c r="AL147" s="13">
        <f t="shared" si="53"/>
        <v>0</v>
      </c>
      <c r="AN147" s="13">
        <v>21</v>
      </c>
      <c r="AO147" s="13">
        <f>H147*0.646990476</f>
        <v>0</v>
      </c>
      <c r="AP147" s="13">
        <f>H147*(1-0.646990476)</f>
        <v>0</v>
      </c>
      <c r="AQ147" s="79" t="s">
        <v>75</v>
      </c>
      <c r="AV147" s="13">
        <f t="shared" si="54"/>
        <v>0</v>
      </c>
      <c r="AW147" s="13">
        <f t="shared" si="55"/>
        <v>0</v>
      </c>
      <c r="AX147" s="13">
        <f t="shared" si="56"/>
        <v>0</v>
      </c>
      <c r="AY147" s="79" t="s">
        <v>838</v>
      </c>
      <c r="AZ147" s="79" t="s">
        <v>837</v>
      </c>
      <c r="BA147" s="30" t="s">
        <v>801</v>
      </c>
      <c r="BC147" s="13">
        <f t="shared" si="57"/>
        <v>0</v>
      </c>
      <c r="BD147" s="13">
        <f t="shared" si="58"/>
        <v>0</v>
      </c>
      <c r="BE147" s="13">
        <v>0</v>
      </c>
      <c r="BF147" s="13">
        <f>147</f>
        <v>147</v>
      </c>
      <c r="BH147" s="13">
        <f t="shared" si="59"/>
        <v>0</v>
      </c>
      <c r="BI147" s="13">
        <f t="shared" si="60"/>
        <v>0</v>
      </c>
      <c r="BJ147" s="13">
        <f t="shared" si="61"/>
        <v>0</v>
      </c>
      <c r="BK147" s="13"/>
      <c r="BL147" s="13">
        <v>733</v>
      </c>
      <c r="BW147" s="13">
        <v>21</v>
      </c>
    </row>
    <row r="148" spans="1:75" ht="13.5" customHeight="1" x14ac:dyDescent="0.25">
      <c r="A148" s="1" t="s">
        <v>371</v>
      </c>
      <c r="B148" s="2" t="s">
        <v>26</v>
      </c>
      <c r="C148" s="2" t="s">
        <v>372</v>
      </c>
      <c r="D148" s="95" t="s">
        <v>373</v>
      </c>
      <c r="E148" s="88"/>
      <c r="F148" s="2" t="s">
        <v>127</v>
      </c>
      <c r="G148" s="13">
        <v>6</v>
      </c>
      <c r="H148" s="78">
        <v>0</v>
      </c>
      <c r="I148" s="13">
        <f t="shared" si="42"/>
        <v>0</v>
      </c>
      <c r="K148" s="34"/>
      <c r="Z148" s="13">
        <f t="shared" si="43"/>
        <v>0</v>
      </c>
      <c r="AB148" s="13">
        <f t="shared" si="44"/>
        <v>0</v>
      </c>
      <c r="AC148" s="13">
        <f t="shared" si="45"/>
        <v>0</v>
      </c>
      <c r="AD148" s="13">
        <f t="shared" si="46"/>
        <v>0</v>
      </c>
      <c r="AE148" s="13">
        <f t="shared" si="47"/>
        <v>0</v>
      </c>
      <c r="AF148" s="13">
        <f t="shared" si="48"/>
        <v>0</v>
      </c>
      <c r="AG148" s="13">
        <f t="shared" si="49"/>
        <v>0</v>
      </c>
      <c r="AH148" s="13">
        <f t="shared" si="50"/>
        <v>0</v>
      </c>
      <c r="AI148" s="30" t="s">
        <v>26</v>
      </c>
      <c r="AJ148" s="13">
        <f t="shared" si="51"/>
        <v>0</v>
      </c>
      <c r="AK148" s="13">
        <f t="shared" si="52"/>
        <v>0</v>
      </c>
      <c r="AL148" s="13">
        <f t="shared" si="53"/>
        <v>0</v>
      </c>
      <c r="AN148" s="13">
        <v>21</v>
      </c>
      <c r="AO148" s="13">
        <f>H148*0.682009967</f>
        <v>0</v>
      </c>
      <c r="AP148" s="13">
        <f>H148*(1-0.682009967)</f>
        <v>0</v>
      </c>
      <c r="AQ148" s="79" t="s">
        <v>75</v>
      </c>
      <c r="AV148" s="13">
        <f t="shared" si="54"/>
        <v>0</v>
      </c>
      <c r="AW148" s="13">
        <f t="shared" si="55"/>
        <v>0</v>
      </c>
      <c r="AX148" s="13">
        <f t="shared" si="56"/>
        <v>0</v>
      </c>
      <c r="AY148" s="79" t="s">
        <v>838</v>
      </c>
      <c r="AZ148" s="79" t="s">
        <v>837</v>
      </c>
      <c r="BA148" s="30" t="s">
        <v>801</v>
      </c>
      <c r="BC148" s="13">
        <f t="shared" si="57"/>
        <v>0</v>
      </c>
      <c r="BD148" s="13">
        <f t="shared" si="58"/>
        <v>0</v>
      </c>
      <c r="BE148" s="13">
        <v>0</v>
      </c>
      <c r="BF148" s="13">
        <f>148</f>
        <v>148</v>
      </c>
      <c r="BH148" s="13">
        <f t="shared" si="59"/>
        <v>0</v>
      </c>
      <c r="BI148" s="13">
        <f t="shared" si="60"/>
        <v>0</v>
      </c>
      <c r="BJ148" s="13">
        <f t="shared" si="61"/>
        <v>0</v>
      </c>
      <c r="BK148" s="13"/>
      <c r="BL148" s="13">
        <v>733</v>
      </c>
      <c r="BW148" s="13">
        <v>21</v>
      </c>
    </row>
    <row r="149" spans="1:75" ht="13.5" customHeight="1" x14ac:dyDescent="0.25">
      <c r="A149" s="1" t="s">
        <v>374</v>
      </c>
      <c r="B149" s="2" t="s">
        <v>26</v>
      </c>
      <c r="C149" s="2" t="s">
        <v>375</v>
      </c>
      <c r="D149" s="95" t="s">
        <v>376</v>
      </c>
      <c r="E149" s="88"/>
      <c r="F149" s="2" t="s">
        <v>107</v>
      </c>
      <c r="G149" s="13">
        <v>3</v>
      </c>
      <c r="H149" s="78">
        <v>0</v>
      </c>
      <c r="I149" s="13">
        <f t="shared" si="42"/>
        <v>0</v>
      </c>
      <c r="K149" s="34"/>
      <c r="Z149" s="13">
        <f t="shared" si="43"/>
        <v>0</v>
      </c>
      <c r="AB149" s="13">
        <f t="shared" si="44"/>
        <v>0</v>
      </c>
      <c r="AC149" s="13">
        <f t="shared" si="45"/>
        <v>0</v>
      </c>
      <c r="AD149" s="13">
        <f t="shared" si="46"/>
        <v>0</v>
      </c>
      <c r="AE149" s="13">
        <f t="shared" si="47"/>
        <v>0</v>
      </c>
      <c r="AF149" s="13">
        <f t="shared" si="48"/>
        <v>0</v>
      </c>
      <c r="AG149" s="13">
        <f t="shared" si="49"/>
        <v>0</v>
      </c>
      <c r="AH149" s="13">
        <f t="shared" si="50"/>
        <v>0</v>
      </c>
      <c r="AI149" s="30" t="s">
        <v>26</v>
      </c>
      <c r="AJ149" s="13">
        <f t="shared" si="51"/>
        <v>0</v>
      </c>
      <c r="AK149" s="13">
        <f t="shared" si="52"/>
        <v>0</v>
      </c>
      <c r="AL149" s="13">
        <f t="shared" si="53"/>
        <v>0</v>
      </c>
      <c r="AN149" s="13">
        <v>21</v>
      </c>
      <c r="AO149" s="13">
        <f>H149*0.206683417</f>
        <v>0</v>
      </c>
      <c r="AP149" s="13">
        <f>H149*(1-0.206683417)</f>
        <v>0</v>
      </c>
      <c r="AQ149" s="79" t="s">
        <v>75</v>
      </c>
      <c r="AV149" s="13">
        <f t="shared" si="54"/>
        <v>0</v>
      </c>
      <c r="AW149" s="13">
        <f t="shared" si="55"/>
        <v>0</v>
      </c>
      <c r="AX149" s="13">
        <f t="shared" si="56"/>
        <v>0</v>
      </c>
      <c r="AY149" s="79" t="s">
        <v>838</v>
      </c>
      <c r="AZ149" s="79" t="s">
        <v>837</v>
      </c>
      <c r="BA149" s="30" t="s">
        <v>801</v>
      </c>
      <c r="BC149" s="13">
        <f t="shared" si="57"/>
        <v>0</v>
      </c>
      <c r="BD149" s="13">
        <f t="shared" si="58"/>
        <v>0</v>
      </c>
      <c r="BE149" s="13">
        <v>0</v>
      </c>
      <c r="BF149" s="13">
        <f>149</f>
        <v>149</v>
      </c>
      <c r="BH149" s="13">
        <f t="shared" si="59"/>
        <v>0</v>
      </c>
      <c r="BI149" s="13">
        <f t="shared" si="60"/>
        <v>0</v>
      </c>
      <c r="BJ149" s="13">
        <f t="shared" si="61"/>
        <v>0</v>
      </c>
      <c r="BK149" s="13"/>
      <c r="BL149" s="13">
        <v>733</v>
      </c>
      <c r="BW149" s="13">
        <v>21</v>
      </c>
    </row>
    <row r="150" spans="1:75" ht="13.5" customHeight="1" x14ac:dyDescent="0.25">
      <c r="A150" s="1" t="s">
        <v>377</v>
      </c>
      <c r="B150" s="2" t="s">
        <v>26</v>
      </c>
      <c r="C150" s="2" t="s">
        <v>378</v>
      </c>
      <c r="D150" s="95" t="s">
        <v>379</v>
      </c>
      <c r="E150" s="88"/>
      <c r="F150" s="2" t="s">
        <v>107</v>
      </c>
      <c r="G150" s="13">
        <v>3</v>
      </c>
      <c r="H150" s="78">
        <v>0</v>
      </c>
      <c r="I150" s="13">
        <f t="shared" si="42"/>
        <v>0</v>
      </c>
      <c r="K150" s="34"/>
      <c r="Z150" s="13">
        <f t="shared" si="43"/>
        <v>0</v>
      </c>
      <c r="AB150" s="13">
        <f t="shared" si="44"/>
        <v>0</v>
      </c>
      <c r="AC150" s="13">
        <f t="shared" si="45"/>
        <v>0</v>
      </c>
      <c r="AD150" s="13">
        <f t="shared" si="46"/>
        <v>0</v>
      </c>
      <c r="AE150" s="13">
        <f t="shared" si="47"/>
        <v>0</v>
      </c>
      <c r="AF150" s="13">
        <f t="shared" si="48"/>
        <v>0</v>
      </c>
      <c r="AG150" s="13">
        <f t="shared" si="49"/>
        <v>0</v>
      </c>
      <c r="AH150" s="13">
        <f t="shared" si="50"/>
        <v>0</v>
      </c>
      <c r="AI150" s="30" t="s">
        <v>26</v>
      </c>
      <c r="AJ150" s="13">
        <f t="shared" si="51"/>
        <v>0</v>
      </c>
      <c r="AK150" s="13">
        <f t="shared" si="52"/>
        <v>0</v>
      </c>
      <c r="AL150" s="13">
        <f t="shared" si="53"/>
        <v>0</v>
      </c>
      <c r="AN150" s="13">
        <v>21</v>
      </c>
      <c r="AO150" s="13">
        <f>H150*0.206702703</f>
        <v>0</v>
      </c>
      <c r="AP150" s="13">
        <f>H150*(1-0.206702703)</f>
        <v>0</v>
      </c>
      <c r="AQ150" s="79" t="s">
        <v>75</v>
      </c>
      <c r="AV150" s="13">
        <f t="shared" si="54"/>
        <v>0</v>
      </c>
      <c r="AW150" s="13">
        <f t="shared" si="55"/>
        <v>0</v>
      </c>
      <c r="AX150" s="13">
        <f t="shared" si="56"/>
        <v>0</v>
      </c>
      <c r="AY150" s="79" t="s">
        <v>838</v>
      </c>
      <c r="AZ150" s="79" t="s">
        <v>837</v>
      </c>
      <c r="BA150" s="30" t="s">
        <v>801</v>
      </c>
      <c r="BC150" s="13">
        <f t="shared" si="57"/>
        <v>0</v>
      </c>
      <c r="BD150" s="13">
        <f t="shared" si="58"/>
        <v>0</v>
      </c>
      <c r="BE150" s="13">
        <v>0</v>
      </c>
      <c r="BF150" s="13">
        <f>150</f>
        <v>150</v>
      </c>
      <c r="BH150" s="13">
        <f t="shared" si="59"/>
        <v>0</v>
      </c>
      <c r="BI150" s="13">
        <f t="shared" si="60"/>
        <v>0</v>
      </c>
      <c r="BJ150" s="13">
        <f t="shared" si="61"/>
        <v>0</v>
      </c>
      <c r="BK150" s="13"/>
      <c r="BL150" s="13">
        <v>733</v>
      </c>
      <c r="BW150" s="13">
        <v>21</v>
      </c>
    </row>
    <row r="151" spans="1:75" ht="13.5" customHeight="1" x14ac:dyDescent="0.25">
      <c r="A151" s="1" t="s">
        <v>380</v>
      </c>
      <c r="B151" s="2" t="s">
        <v>26</v>
      </c>
      <c r="C151" s="2" t="s">
        <v>381</v>
      </c>
      <c r="D151" s="95" t="s">
        <v>382</v>
      </c>
      <c r="E151" s="88"/>
      <c r="F151" s="2" t="s">
        <v>127</v>
      </c>
      <c r="G151" s="13">
        <v>11</v>
      </c>
      <c r="H151" s="78">
        <v>0</v>
      </c>
      <c r="I151" s="13">
        <f t="shared" si="42"/>
        <v>0</v>
      </c>
      <c r="K151" s="34"/>
      <c r="Z151" s="13">
        <f t="shared" si="43"/>
        <v>0</v>
      </c>
      <c r="AB151" s="13">
        <f t="shared" si="44"/>
        <v>0</v>
      </c>
      <c r="AC151" s="13">
        <f t="shared" si="45"/>
        <v>0</v>
      </c>
      <c r="AD151" s="13">
        <f t="shared" si="46"/>
        <v>0</v>
      </c>
      <c r="AE151" s="13">
        <f t="shared" si="47"/>
        <v>0</v>
      </c>
      <c r="AF151" s="13">
        <f t="shared" si="48"/>
        <v>0</v>
      </c>
      <c r="AG151" s="13">
        <f t="shared" si="49"/>
        <v>0</v>
      </c>
      <c r="AH151" s="13">
        <f t="shared" si="50"/>
        <v>0</v>
      </c>
      <c r="AI151" s="30" t="s">
        <v>26</v>
      </c>
      <c r="AJ151" s="13">
        <f t="shared" si="51"/>
        <v>0</v>
      </c>
      <c r="AK151" s="13">
        <f t="shared" si="52"/>
        <v>0</v>
      </c>
      <c r="AL151" s="13">
        <f t="shared" si="53"/>
        <v>0</v>
      </c>
      <c r="AN151" s="13">
        <v>21</v>
      </c>
      <c r="AO151" s="13">
        <f>H151*0.291669884</f>
        <v>0</v>
      </c>
      <c r="AP151" s="13">
        <f>H151*(1-0.291669884)</f>
        <v>0</v>
      </c>
      <c r="AQ151" s="79" t="s">
        <v>75</v>
      </c>
      <c r="AV151" s="13">
        <f t="shared" si="54"/>
        <v>0</v>
      </c>
      <c r="AW151" s="13">
        <f t="shared" si="55"/>
        <v>0</v>
      </c>
      <c r="AX151" s="13">
        <f t="shared" si="56"/>
        <v>0</v>
      </c>
      <c r="AY151" s="79" t="s">
        <v>838</v>
      </c>
      <c r="AZ151" s="79" t="s">
        <v>837</v>
      </c>
      <c r="BA151" s="30" t="s">
        <v>801</v>
      </c>
      <c r="BC151" s="13">
        <f t="shared" si="57"/>
        <v>0</v>
      </c>
      <c r="BD151" s="13">
        <f t="shared" si="58"/>
        <v>0</v>
      </c>
      <c r="BE151" s="13">
        <v>0</v>
      </c>
      <c r="BF151" s="13">
        <f>151</f>
        <v>151</v>
      </c>
      <c r="BH151" s="13">
        <f t="shared" si="59"/>
        <v>0</v>
      </c>
      <c r="BI151" s="13">
        <f t="shared" si="60"/>
        <v>0</v>
      </c>
      <c r="BJ151" s="13">
        <f t="shared" si="61"/>
        <v>0</v>
      </c>
      <c r="BK151" s="13"/>
      <c r="BL151" s="13">
        <v>733</v>
      </c>
      <c r="BW151" s="13">
        <v>21</v>
      </c>
    </row>
    <row r="152" spans="1:75" ht="13.5" customHeight="1" x14ac:dyDescent="0.25">
      <c r="A152" s="32"/>
      <c r="C152" s="80" t="s">
        <v>802</v>
      </c>
      <c r="D152" s="113" t="s">
        <v>826</v>
      </c>
      <c r="E152" s="114"/>
      <c r="F152" s="114"/>
      <c r="G152" s="114"/>
      <c r="H152" s="184"/>
      <c r="I152" s="114"/>
      <c r="J152" s="114"/>
      <c r="K152" s="185"/>
    </row>
    <row r="153" spans="1:75" ht="13.5" customHeight="1" x14ac:dyDescent="0.25">
      <c r="A153" s="1" t="s">
        <v>383</v>
      </c>
      <c r="B153" s="2" t="s">
        <v>26</v>
      </c>
      <c r="C153" s="2" t="s">
        <v>384</v>
      </c>
      <c r="D153" s="95" t="s">
        <v>382</v>
      </c>
      <c r="E153" s="88"/>
      <c r="F153" s="2" t="s">
        <v>127</v>
      </c>
      <c r="G153" s="13">
        <v>11</v>
      </c>
      <c r="H153" s="78">
        <v>0</v>
      </c>
      <c r="I153" s="13">
        <f>G153*H153</f>
        <v>0</v>
      </c>
      <c r="K153" s="34"/>
      <c r="Z153" s="13">
        <f>IF(AQ153="5",BJ153,0)</f>
        <v>0</v>
      </c>
      <c r="AB153" s="13">
        <f>IF(AQ153="1",BH153,0)</f>
        <v>0</v>
      </c>
      <c r="AC153" s="13">
        <f>IF(AQ153="1",BI153,0)</f>
        <v>0</v>
      </c>
      <c r="AD153" s="13">
        <f>IF(AQ153="7",BH153,0)</f>
        <v>0</v>
      </c>
      <c r="AE153" s="13">
        <f>IF(AQ153="7",BI153,0)</f>
        <v>0</v>
      </c>
      <c r="AF153" s="13">
        <f>IF(AQ153="2",BH153,0)</f>
        <v>0</v>
      </c>
      <c r="AG153" s="13">
        <f>IF(AQ153="2",BI153,0)</f>
        <v>0</v>
      </c>
      <c r="AH153" s="13">
        <f>IF(AQ153="0",BJ153,0)</f>
        <v>0</v>
      </c>
      <c r="AI153" s="30" t="s">
        <v>26</v>
      </c>
      <c r="AJ153" s="13">
        <f>IF(AN153=0,I153,0)</f>
        <v>0</v>
      </c>
      <c r="AK153" s="13">
        <f>IF(AN153=12,I153,0)</f>
        <v>0</v>
      </c>
      <c r="AL153" s="13">
        <f>IF(AN153=21,I153,0)</f>
        <v>0</v>
      </c>
      <c r="AN153" s="13">
        <v>21</v>
      </c>
      <c r="AO153" s="13">
        <f>H153*0.273907285</f>
        <v>0</v>
      </c>
      <c r="AP153" s="13">
        <f>H153*(1-0.273907285)</f>
        <v>0</v>
      </c>
      <c r="AQ153" s="79" t="s">
        <v>75</v>
      </c>
      <c r="AV153" s="13">
        <f>AW153+AX153</f>
        <v>0</v>
      </c>
      <c r="AW153" s="13">
        <f>G153*AO153</f>
        <v>0</v>
      </c>
      <c r="AX153" s="13">
        <f>G153*AP153</f>
        <v>0</v>
      </c>
      <c r="AY153" s="79" t="s">
        <v>838</v>
      </c>
      <c r="AZ153" s="79" t="s">
        <v>837</v>
      </c>
      <c r="BA153" s="30" t="s">
        <v>801</v>
      </c>
      <c r="BC153" s="13">
        <f>AW153+AX153</f>
        <v>0</v>
      </c>
      <c r="BD153" s="13">
        <f>H153/(100-BE153)*100</f>
        <v>0</v>
      </c>
      <c r="BE153" s="13">
        <v>0</v>
      </c>
      <c r="BF153" s="13">
        <f>153</f>
        <v>153</v>
      </c>
      <c r="BH153" s="13">
        <f>G153*AO153</f>
        <v>0</v>
      </c>
      <c r="BI153" s="13">
        <f>G153*AP153</f>
        <v>0</v>
      </c>
      <c r="BJ153" s="13">
        <f>G153*H153</f>
        <v>0</v>
      </c>
      <c r="BK153" s="13"/>
      <c r="BL153" s="13">
        <v>733</v>
      </c>
      <c r="BW153" s="13">
        <v>21</v>
      </c>
    </row>
    <row r="154" spans="1:75" ht="13.5" customHeight="1" x14ac:dyDescent="0.25">
      <c r="A154" s="32"/>
      <c r="C154" s="80" t="s">
        <v>802</v>
      </c>
      <c r="D154" s="113" t="s">
        <v>839</v>
      </c>
      <c r="E154" s="114"/>
      <c r="F154" s="114"/>
      <c r="G154" s="114"/>
      <c r="H154" s="184"/>
      <c r="I154" s="114"/>
      <c r="J154" s="114"/>
      <c r="K154" s="185"/>
    </row>
    <row r="155" spans="1:75" ht="13.5" customHeight="1" x14ac:dyDescent="0.25">
      <c r="A155" s="1" t="s">
        <v>385</v>
      </c>
      <c r="B155" s="2" t="s">
        <v>26</v>
      </c>
      <c r="C155" s="2" t="s">
        <v>386</v>
      </c>
      <c r="D155" s="95" t="s">
        <v>382</v>
      </c>
      <c r="E155" s="88"/>
      <c r="F155" s="2" t="s">
        <v>127</v>
      </c>
      <c r="G155" s="13">
        <v>4</v>
      </c>
      <c r="H155" s="78">
        <v>0</v>
      </c>
      <c r="I155" s="13">
        <f>G155*H155</f>
        <v>0</v>
      </c>
      <c r="K155" s="34"/>
      <c r="Z155" s="13">
        <f>IF(AQ155="5",BJ155,0)</f>
        <v>0</v>
      </c>
      <c r="AB155" s="13">
        <f>IF(AQ155="1",BH155,0)</f>
        <v>0</v>
      </c>
      <c r="AC155" s="13">
        <f>IF(AQ155="1",BI155,0)</f>
        <v>0</v>
      </c>
      <c r="AD155" s="13">
        <f>IF(AQ155="7",BH155,0)</f>
        <v>0</v>
      </c>
      <c r="AE155" s="13">
        <f>IF(AQ155="7",BI155,0)</f>
        <v>0</v>
      </c>
      <c r="AF155" s="13">
        <f>IF(AQ155="2",BH155,0)</f>
        <v>0</v>
      </c>
      <c r="AG155" s="13">
        <f>IF(AQ155="2",BI155,0)</f>
        <v>0</v>
      </c>
      <c r="AH155" s="13">
        <f>IF(AQ155="0",BJ155,0)</f>
        <v>0</v>
      </c>
      <c r="AI155" s="30" t="s">
        <v>26</v>
      </c>
      <c r="AJ155" s="13">
        <f>IF(AN155=0,I155,0)</f>
        <v>0</v>
      </c>
      <c r="AK155" s="13">
        <f>IF(AN155=12,I155,0)</f>
        <v>0</v>
      </c>
      <c r="AL155" s="13">
        <f>IF(AN155=21,I155,0)</f>
        <v>0</v>
      </c>
      <c r="AN155" s="13">
        <v>21</v>
      </c>
      <c r="AO155" s="13">
        <f>H155*0.246054054</f>
        <v>0</v>
      </c>
      <c r="AP155" s="13">
        <f>H155*(1-0.246054054)</f>
        <v>0</v>
      </c>
      <c r="AQ155" s="79" t="s">
        <v>75</v>
      </c>
      <c r="AV155" s="13">
        <f>AW155+AX155</f>
        <v>0</v>
      </c>
      <c r="AW155" s="13">
        <f>G155*AO155</f>
        <v>0</v>
      </c>
      <c r="AX155" s="13">
        <f>G155*AP155</f>
        <v>0</v>
      </c>
      <c r="AY155" s="79" t="s">
        <v>838</v>
      </c>
      <c r="AZ155" s="79" t="s">
        <v>837</v>
      </c>
      <c r="BA155" s="30" t="s">
        <v>801</v>
      </c>
      <c r="BC155" s="13">
        <f>AW155+AX155</f>
        <v>0</v>
      </c>
      <c r="BD155" s="13">
        <f>H155/(100-BE155)*100</f>
        <v>0</v>
      </c>
      <c r="BE155" s="13">
        <v>0</v>
      </c>
      <c r="BF155" s="13">
        <f>155</f>
        <v>155</v>
      </c>
      <c r="BH155" s="13">
        <f>G155*AO155</f>
        <v>0</v>
      </c>
      <c r="BI155" s="13">
        <f>G155*AP155</f>
        <v>0</v>
      </c>
      <c r="BJ155" s="13">
        <f>G155*H155</f>
        <v>0</v>
      </c>
      <c r="BK155" s="13"/>
      <c r="BL155" s="13">
        <v>733</v>
      </c>
      <c r="BW155" s="13">
        <v>21</v>
      </c>
    </row>
    <row r="156" spans="1:75" ht="13.5" customHeight="1" x14ac:dyDescent="0.25">
      <c r="A156" s="32"/>
      <c r="C156" s="80" t="s">
        <v>802</v>
      </c>
      <c r="D156" s="113" t="s">
        <v>840</v>
      </c>
      <c r="E156" s="114"/>
      <c r="F156" s="114"/>
      <c r="G156" s="114"/>
      <c r="H156" s="184"/>
      <c r="I156" s="114"/>
      <c r="J156" s="114"/>
      <c r="K156" s="185"/>
    </row>
    <row r="157" spans="1:75" ht="13.5" customHeight="1" x14ac:dyDescent="0.25">
      <c r="A157" s="1" t="s">
        <v>387</v>
      </c>
      <c r="B157" s="2" t="s">
        <v>26</v>
      </c>
      <c r="C157" s="2" t="s">
        <v>388</v>
      </c>
      <c r="D157" s="95" t="s">
        <v>389</v>
      </c>
      <c r="E157" s="88"/>
      <c r="F157" s="2" t="s">
        <v>127</v>
      </c>
      <c r="G157" s="13">
        <v>28</v>
      </c>
      <c r="H157" s="78">
        <v>0</v>
      </c>
      <c r="I157" s="13">
        <f>G157*H157</f>
        <v>0</v>
      </c>
      <c r="K157" s="34"/>
      <c r="Z157" s="13">
        <f>IF(AQ157="5",BJ157,0)</f>
        <v>0</v>
      </c>
      <c r="AB157" s="13">
        <f>IF(AQ157="1",BH157,0)</f>
        <v>0</v>
      </c>
      <c r="AC157" s="13">
        <f>IF(AQ157="1",BI157,0)</f>
        <v>0</v>
      </c>
      <c r="AD157" s="13">
        <f>IF(AQ157="7",BH157,0)</f>
        <v>0</v>
      </c>
      <c r="AE157" s="13">
        <f>IF(AQ157="7",BI157,0)</f>
        <v>0</v>
      </c>
      <c r="AF157" s="13">
        <f>IF(AQ157="2",BH157,0)</f>
        <v>0</v>
      </c>
      <c r="AG157" s="13">
        <f>IF(AQ157="2",BI157,0)</f>
        <v>0</v>
      </c>
      <c r="AH157" s="13">
        <f>IF(AQ157="0",BJ157,0)</f>
        <v>0</v>
      </c>
      <c r="AI157" s="30" t="s">
        <v>26</v>
      </c>
      <c r="AJ157" s="13">
        <f>IF(AN157=0,I157,0)</f>
        <v>0</v>
      </c>
      <c r="AK157" s="13">
        <f>IF(AN157=12,I157,0)</f>
        <v>0</v>
      </c>
      <c r="AL157" s="13">
        <f>IF(AN157=21,I157,0)</f>
        <v>0</v>
      </c>
      <c r="AN157" s="13">
        <v>21</v>
      </c>
      <c r="AO157" s="13">
        <f>H157*0.024761905</f>
        <v>0</v>
      </c>
      <c r="AP157" s="13">
        <f>H157*(1-0.024761905)</f>
        <v>0</v>
      </c>
      <c r="AQ157" s="79" t="s">
        <v>75</v>
      </c>
      <c r="AV157" s="13">
        <f>AW157+AX157</f>
        <v>0</v>
      </c>
      <c r="AW157" s="13">
        <f>G157*AO157</f>
        <v>0</v>
      </c>
      <c r="AX157" s="13">
        <f>G157*AP157</f>
        <v>0</v>
      </c>
      <c r="AY157" s="79" t="s">
        <v>838</v>
      </c>
      <c r="AZ157" s="79" t="s">
        <v>837</v>
      </c>
      <c r="BA157" s="30" t="s">
        <v>801</v>
      </c>
      <c r="BC157" s="13">
        <f>AW157+AX157</f>
        <v>0</v>
      </c>
      <c r="BD157" s="13">
        <f>H157/(100-BE157)*100</f>
        <v>0</v>
      </c>
      <c r="BE157" s="13">
        <v>0</v>
      </c>
      <c r="BF157" s="13">
        <f>157</f>
        <v>157</v>
      </c>
      <c r="BH157" s="13">
        <f>G157*AO157</f>
        <v>0</v>
      </c>
      <c r="BI157" s="13">
        <f>G157*AP157</f>
        <v>0</v>
      </c>
      <c r="BJ157" s="13">
        <f>G157*H157</f>
        <v>0</v>
      </c>
      <c r="BK157" s="13"/>
      <c r="BL157" s="13">
        <v>733</v>
      </c>
      <c r="BW157" s="13">
        <v>21</v>
      </c>
    </row>
    <row r="158" spans="1:75" ht="13.5" customHeight="1" x14ac:dyDescent="0.25">
      <c r="A158" s="1" t="s">
        <v>390</v>
      </c>
      <c r="B158" s="2" t="s">
        <v>26</v>
      </c>
      <c r="C158" s="2" t="s">
        <v>391</v>
      </c>
      <c r="D158" s="95" t="s">
        <v>392</v>
      </c>
      <c r="E158" s="88"/>
      <c r="F158" s="2" t="s">
        <v>231</v>
      </c>
      <c r="G158" s="13">
        <v>183.4</v>
      </c>
      <c r="H158" s="78">
        <v>0</v>
      </c>
      <c r="I158" s="13">
        <f>G158*H158</f>
        <v>0</v>
      </c>
      <c r="K158" s="34"/>
      <c r="Z158" s="13">
        <f>IF(AQ158="5",BJ158,0)</f>
        <v>0</v>
      </c>
      <c r="AB158" s="13">
        <f>IF(AQ158="1",BH158,0)</f>
        <v>0</v>
      </c>
      <c r="AC158" s="13">
        <f>IF(AQ158="1",BI158,0)</f>
        <v>0</v>
      </c>
      <c r="AD158" s="13">
        <f>IF(AQ158="7",BH158,0)</f>
        <v>0</v>
      </c>
      <c r="AE158" s="13">
        <f>IF(AQ158="7",BI158,0)</f>
        <v>0</v>
      </c>
      <c r="AF158" s="13">
        <f>IF(AQ158="2",BH158,0)</f>
        <v>0</v>
      </c>
      <c r="AG158" s="13">
        <f>IF(AQ158="2",BI158,0)</f>
        <v>0</v>
      </c>
      <c r="AH158" s="13">
        <f>IF(AQ158="0",BJ158,0)</f>
        <v>0</v>
      </c>
      <c r="AI158" s="30" t="s">
        <v>26</v>
      </c>
      <c r="AJ158" s="13">
        <f>IF(AN158=0,I158,0)</f>
        <v>0</v>
      </c>
      <c r="AK158" s="13">
        <f>IF(AN158=12,I158,0)</f>
        <v>0</v>
      </c>
      <c r="AL158" s="13">
        <f>IF(AN158=21,I158,0)</f>
        <v>0</v>
      </c>
      <c r="AN158" s="13">
        <v>21</v>
      </c>
      <c r="AO158" s="13">
        <f>H158*0</f>
        <v>0</v>
      </c>
      <c r="AP158" s="13">
        <f>H158*(1-0)</f>
        <v>0</v>
      </c>
      <c r="AQ158" s="79" t="s">
        <v>70</v>
      </c>
      <c r="AV158" s="13">
        <f>AW158+AX158</f>
        <v>0</v>
      </c>
      <c r="AW158" s="13">
        <f>G158*AO158</f>
        <v>0</v>
      </c>
      <c r="AX158" s="13">
        <f>G158*AP158</f>
        <v>0</v>
      </c>
      <c r="AY158" s="79" t="s">
        <v>838</v>
      </c>
      <c r="AZ158" s="79" t="s">
        <v>837</v>
      </c>
      <c r="BA158" s="30" t="s">
        <v>801</v>
      </c>
      <c r="BC158" s="13">
        <f>AW158+AX158</f>
        <v>0</v>
      </c>
      <c r="BD158" s="13">
        <f>H158/(100-BE158)*100</f>
        <v>0</v>
      </c>
      <c r="BE158" s="13">
        <v>0</v>
      </c>
      <c r="BF158" s="13">
        <f>158</f>
        <v>158</v>
      </c>
      <c r="BH158" s="13">
        <f>G158*AO158</f>
        <v>0</v>
      </c>
      <c r="BI158" s="13">
        <f>G158*AP158</f>
        <v>0</v>
      </c>
      <c r="BJ158" s="13">
        <f>G158*H158</f>
        <v>0</v>
      </c>
      <c r="BK158" s="13"/>
      <c r="BL158" s="13">
        <v>733</v>
      </c>
      <c r="BW158" s="13">
        <v>21</v>
      </c>
    </row>
    <row r="159" spans="1:75" x14ac:dyDescent="0.25">
      <c r="A159" s="75" t="s">
        <v>20</v>
      </c>
      <c r="B159" s="29" t="s">
        <v>26</v>
      </c>
      <c r="C159" s="29" t="s">
        <v>393</v>
      </c>
      <c r="D159" s="183" t="s">
        <v>394</v>
      </c>
      <c r="E159" s="112"/>
      <c r="F159" s="76" t="s">
        <v>13</v>
      </c>
      <c r="G159" s="76" t="s">
        <v>13</v>
      </c>
      <c r="H159" s="77" t="s">
        <v>13</v>
      </c>
      <c r="I159" s="61">
        <f>SUM(I160:I170)</f>
        <v>0</v>
      </c>
      <c r="K159" s="34"/>
      <c r="AI159" s="30" t="s">
        <v>26</v>
      </c>
      <c r="AS159" s="61">
        <f>SUM(AJ160:AJ170)</f>
        <v>0</v>
      </c>
      <c r="AT159" s="61">
        <f>SUM(AK160:AK170)</f>
        <v>0</v>
      </c>
      <c r="AU159" s="61">
        <f>SUM(AL160:AL170)</f>
        <v>0</v>
      </c>
    </row>
    <row r="160" spans="1:75" ht="13.5" customHeight="1" x14ac:dyDescent="0.25">
      <c r="A160" s="1" t="s">
        <v>395</v>
      </c>
      <c r="B160" s="2" t="s">
        <v>26</v>
      </c>
      <c r="C160" s="2" t="s">
        <v>396</v>
      </c>
      <c r="D160" s="95" t="s">
        <v>397</v>
      </c>
      <c r="E160" s="88"/>
      <c r="F160" s="2" t="s">
        <v>107</v>
      </c>
      <c r="G160" s="13">
        <v>3</v>
      </c>
      <c r="H160" s="78">
        <v>0</v>
      </c>
      <c r="I160" s="13">
        <f>G160*H160</f>
        <v>0</v>
      </c>
      <c r="K160" s="34"/>
      <c r="Z160" s="13">
        <f>IF(AQ160="5",BJ160,0)</f>
        <v>0</v>
      </c>
      <c r="AB160" s="13">
        <f>IF(AQ160="1",BH160,0)</f>
        <v>0</v>
      </c>
      <c r="AC160" s="13">
        <f>IF(AQ160="1",BI160,0)</f>
        <v>0</v>
      </c>
      <c r="AD160" s="13">
        <f>IF(AQ160="7",BH160,0)</f>
        <v>0</v>
      </c>
      <c r="AE160" s="13">
        <f>IF(AQ160="7",BI160,0)</f>
        <v>0</v>
      </c>
      <c r="AF160" s="13">
        <f>IF(AQ160="2",BH160,0)</f>
        <v>0</v>
      </c>
      <c r="AG160" s="13">
        <f>IF(AQ160="2",BI160,0)</f>
        <v>0</v>
      </c>
      <c r="AH160" s="13">
        <f>IF(AQ160="0",BJ160,0)</f>
        <v>0</v>
      </c>
      <c r="AI160" s="30" t="s">
        <v>26</v>
      </c>
      <c r="AJ160" s="13">
        <f>IF(AN160=0,I160,0)</f>
        <v>0</v>
      </c>
      <c r="AK160" s="13">
        <f>IF(AN160=12,I160,0)</f>
        <v>0</v>
      </c>
      <c r="AL160" s="13">
        <f>IF(AN160=21,I160,0)</f>
        <v>0</v>
      </c>
      <c r="AN160" s="13">
        <v>21</v>
      </c>
      <c r="AO160" s="13">
        <f>H160*0.854478398</f>
        <v>0</v>
      </c>
      <c r="AP160" s="13">
        <f>H160*(1-0.854478398)</f>
        <v>0</v>
      </c>
      <c r="AQ160" s="79" t="s">
        <v>75</v>
      </c>
      <c r="AV160" s="13">
        <f>AW160+AX160</f>
        <v>0</v>
      </c>
      <c r="AW160" s="13">
        <f>G160*AO160</f>
        <v>0</v>
      </c>
      <c r="AX160" s="13">
        <f>G160*AP160</f>
        <v>0</v>
      </c>
      <c r="AY160" s="79" t="s">
        <v>841</v>
      </c>
      <c r="AZ160" s="79" t="s">
        <v>837</v>
      </c>
      <c r="BA160" s="30" t="s">
        <v>801</v>
      </c>
      <c r="BC160" s="13">
        <f>AW160+AX160</f>
        <v>0</v>
      </c>
      <c r="BD160" s="13">
        <f>H160/(100-BE160)*100</f>
        <v>0</v>
      </c>
      <c r="BE160" s="13">
        <v>0</v>
      </c>
      <c r="BF160" s="13">
        <f>160</f>
        <v>160</v>
      </c>
      <c r="BH160" s="13">
        <f>G160*AO160</f>
        <v>0</v>
      </c>
      <c r="BI160" s="13">
        <f>G160*AP160</f>
        <v>0</v>
      </c>
      <c r="BJ160" s="13">
        <f>G160*H160</f>
        <v>0</v>
      </c>
      <c r="BK160" s="13"/>
      <c r="BL160" s="13">
        <v>734</v>
      </c>
      <c r="BW160" s="13">
        <v>21</v>
      </c>
    </row>
    <row r="161" spans="1:75" ht="13.5" customHeight="1" x14ac:dyDescent="0.25">
      <c r="A161" s="1" t="s">
        <v>398</v>
      </c>
      <c r="B161" s="2" t="s">
        <v>26</v>
      </c>
      <c r="C161" s="2" t="s">
        <v>399</v>
      </c>
      <c r="D161" s="95" t="s">
        <v>400</v>
      </c>
      <c r="E161" s="88"/>
      <c r="F161" s="2" t="s">
        <v>107</v>
      </c>
      <c r="G161" s="13">
        <v>3</v>
      </c>
      <c r="H161" s="78">
        <v>0</v>
      </c>
      <c r="I161" s="13">
        <f>G161*H161</f>
        <v>0</v>
      </c>
      <c r="K161" s="34"/>
      <c r="Z161" s="13">
        <f>IF(AQ161="5",BJ161,0)</f>
        <v>0</v>
      </c>
      <c r="AB161" s="13">
        <f>IF(AQ161="1",BH161,0)</f>
        <v>0</v>
      </c>
      <c r="AC161" s="13">
        <f>IF(AQ161="1",BI161,0)</f>
        <v>0</v>
      </c>
      <c r="AD161" s="13">
        <f>IF(AQ161="7",BH161,0)</f>
        <v>0</v>
      </c>
      <c r="AE161" s="13">
        <f>IF(AQ161="7",BI161,0)</f>
        <v>0</v>
      </c>
      <c r="AF161" s="13">
        <f>IF(AQ161="2",BH161,0)</f>
        <v>0</v>
      </c>
      <c r="AG161" s="13">
        <f>IF(AQ161="2",BI161,0)</f>
        <v>0</v>
      </c>
      <c r="AH161" s="13">
        <f>IF(AQ161="0",BJ161,0)</f>
        <v>0</v>
      </c>
      <c r="AI161" s="30" t="s">
        <v>26</v>
      </c>
      <c r="AJ161" s="13">
        <f>IF(AN161=0,I161,0)</f>
        <v>0</v>
      </c>
      <c r="AK161" s="13">
        <f>IF(AN161=12,I161,0)</f>
        <v>0</v>
      </c>
      <c r="AL161" s="13">
        <f>IF(AN161=21,I161,0)</f>
        <v>0</v>
      </c>
      <c r="AN161" s="13">
        <v>21</v>
      </c>
      <c r="AO161" s="13">
        <f>H161*0.901553398</f>
        <v>0</v>
      </c>
      <c r="AP161" s="13">
        <f>H161*(1-0.901553398)</f>
        <v>0</v>
      </c>
      <c r="AQ161" s="79" t="s">
        <v>75</v>
      </c>
      <c r="AV161" s="13">
        <f>AW161+AX161</f>
        <v>0</v>
      </c>
      <c r="AW161" s="13">
        <f>G161*AO161</f>
        <v>0</v>
      </c>
      <c r="AX161" s="13">
        <f>G161*AP161</f>
        <v>0</v>
      </c>
      <c r="AY161" s="79" t="s">
        <v>841</v>
      </c>
      <c r="AZ161" s="79" t="s">
        <v>837</v>
      </c>
      <c r="BA161" s="30" t="s">
        <v>801</v>
      </c>
      <c r="BC161" s="13">
        <f>AW161+AX161</f>
        <v>0</v>
      </c>
      <c r="BD161" s="13">
        <f>H161/(100-BE161)*100</f>
        <v>0</v>
      </c>
      <c r="BE161" s="13">
        <v>0</v>
      </c>
      <c r="BF161" s="13">
        <f>161</f>
        <v>161</v>
      </c>
      <c r="BH161" s="13">
        <f>G161*AO161</f>
        <v>0</v>
      </c>
      <c r="BI161" s="13">
        <f>G161*AP161</f>
        <v>0</v>
      </c>
      <c r="BJ161" s="13">
        <f>G161*H161</f>
        <v>0</v>
      </c>
      <c r="BK161" s="13"/>
      <c r="BL161" s="13">
        <v>734</v>
      </c>
      <c r="BW161" s="13">
        <v>21</v>
      </c>
    </row>
    <row r="162" spans="1:75" ht="13.5" customHeight="1" x14ac:dyDescent="0.25">
      <c r="A162" s="32"/>
      <c r="C162" s="80" t="s">
        <v>802</v>
      </c>
      <c r="D162" s="113" t="s">
        <v>842</v>
      </c>
      <c r="E162" s="114"/>
      <c r="F162" s="114"/>
      <c r="G162" s="114"/>
      <c r="H162" s="184"/>
      <c r="I162" s="114"/>
      <c r="J162" s="114"/>
      <c r="K162" s="185"/>
    </row>
    <row r="163" spans="1:75" ht="13.5" customHeight="1" x14ac:dyDescent="0.25">
      <c r="A163" s="1" t="s">
        <v>401</v>
      </c>
      <c r="B163" s="2" t="s">
        <v>26</v>
      </c>
      <c r="C163" s="2" t="s">
        <v>402</v>
      </c>
      <c r="D163" s="95" t="s">
        <v>403</v>
      </c>
      <c r="E163" s="88"/>
      <c r="F163" s="2" t="s">
        <v>107</v>
      </c>
      <c r="G163" s="13">
        <v>1</v>
      </c>
      <c r="H163" s="78">
        <v>0</v>
      </c>
      <c r="I163" s="13">
        <f>G163*H163</f>
        <v>0</v>
      </c>
      <c r="K163" s="34"/>
      <c r="Z163" s="13">
        <f>IF(AQ163="5",BJ163,0)</f>
        <v>0</v>
      </c>
      <c r="AB163" s="13">
        <f>IF(AQ163="1",BH163,0)</f>
        <v>0</v>
      </c>
      <c r="AC163" s="13">
        <f>IF(AQ163="1",BI163,0)</f>
        <v>0</v>
      </c>
      <c r="AD163" s="13">
        <f>IF(AQ163="7",BH163,0)</f>
        <v>0</v>
      </c>
      <c r="AE163" s="13">
        <f>IF(AQ163="7",BI163,0)</f>
        <v>0</v>
      </c>
      <c r="AF163" s="13">
        <f>IF(AQ163="2",BH163,0)</f>
        <v>0</v>
      </c>
      <c r="AG163" s="13">
        <f>IF(AQ163="2",BI163,0)</f>
        <v>0</v>
      </c>
      <c r="AH163" s="13">
        <f>IF(AQ163="0",BJ163,0)</f>
        <v>0</v>
      </c>
      <c r="AI163" s="30" t="s">
        <v>26</v>
      </c>
      <c r="AJ163" s="13">
        <f>IF(AN163=0,I163,0)</f>
        <v>0</v>
      </c>
      <c r="AK163" s="13">
        <f>IF(AN163=12,I163,0)</f>
        <v>0</v>
      </c>
      <c r="AL163" s="13">
        <f>IF(AN163=21,I163,0)</f>
        <v>0</v>
      </c>
      <c r="AN163" s="13">
        <v>21</v>
      </c>
      <c r="AO163" s="13">
        <f>H163*0.804217391</f>
        <v>0</v>
      </c>
      <c r="AP163" s="13">
        <f>H163*(1-0.804217391)</f>
        <v>0</v>
      </c>
      <c r="AQ163" s="79" t="s">
        <v>75</v>
      </c>
      <c r="AV163" s="13">
        <f>AW163+AX163</f>
        <v>0</v>
      </c>
      <c r="AW163" s="13">
        <f>G163*AO163</f>
        <v>0</v>
      </c>
      <c r="AX163" s="13">
        <f>G163*AP163</f>
        <v>0</v>
      </c>
      <c r="AY163" s="79" t="s">
        <v>841</v>
      </c>
      <c r="AZ163" s="79" t="s">
        <v>837</v>
      </c>
      <c r="BA163" s="30" t="s">
        <v>801</v>
      </c>
      <c r="BC163" s="13">
        <f>AW163+AX163</f>
        <v>0</v>
      </c>
      <c r="BD163" s="13">
        <f>H163/(100-BE163)*100</f>
        <v>0</v>
      </c>
      <c r="BE163" s="13">
        <v>0</v>
      </c>
      <c r="BF163" s="13">
        <f>163</f>
        <v>163</v>
      </c>
      <c r="BH163" s="13">
        <f>G163*AO163</f>
        <v>0</v>
      </c>
      <c r="BI163" s="13">
        <f>G163*AP163</f>
        <v>0</v>
      </c>
      <c r="BJ163" s="13">
        <f>G163*H163</f>
        <v>0</v>
      </c>
      <c r="BK163" s="13"/>
      <c r="BL163" s="13">
        <v>734</v>
      </c>
      <c r="BW163" s="13">
        <v>21</v>
      </c>
    </row>
    <row r="164" spans="1:75" ht="13.5" customHeight="1" x14ac:dyDescent="0.25">
      <c r="A164" s="1" t="s">
        <v>404</v>
      </c>
      <c r="B164" s="2" t="s">
        <v>26</v>
      </c>
      <c r="C164" s="2" t="s">
        <v>405</v>
      </c>
      <c r="D164" s="95" t="s">
        <v>406</v>
      </c>
      <c r="E164" s="88"/>
      <c r="F164" s="2" t="s">
        <v>107</v>
      </c>
      <c r="G164" s="13">
        <v>3</v>
      </c>
      <c r="H164" s="78">
        <v>0</v>
      </c>
      <c r="I164" s="13">
        <f>G164*H164</f>
        <v>0</v>
      </c>
      <c r="K164" s="34"/>
      <c r="Z164" s="13">
        <f>IF(AQ164="5",BJ164,0)</f>
        <v>0</v>
      </c>
      <c r="AB164" s="13">
        <f>IF(AQ164="1",BH164,0)</f>
        <v>0</v>
      </c>
      <c r="AC164" s="13">
        <f>IF(AQ164="1",BI164,0)</f>
        <v>0</v>
      </c>
      <c r="AD164" s="13">
        <f>IF(AQ164="7",BH164,0)</f>
        <v>0</v>
      </c>
      <c r="AE164" s="13">
        <f>IF(AQ164="7",BI164,0)</f>
        <v>0</v>
      </c>
      <c r="AF164" s="13">
        <f>IF(AQ164="2",BH164,0)</f>
        <v>0</v>
      </c>
      <c r="AG164" s="13">
        <f>IF(AQ164="2",BI164,0)</f>
        <v>0</v>
      </c>
      <c r="AH164" s="13">
        <f>IF(AQ164="0",BJ164,0)</f>
        <v>0</v>
      </c>
      <c r="AI164" s="30" t="s">
        <v>26</v>
      </c>
      <c r="AJ164" s="13">
        <f>IF(AN164=0,I164,0)</f>
        <v>0</v>
      </c>
      <c r="AK164" s="13">
        <f>IF(AN164=12,I164,0)</f>
        <v>0</v>
      </c>
      <c r="AL164" s="13">
        <f>IF(AN164=21,I164,0)</f>
        <v>0</v>
      </c>
      <c r="AN164" s="13">
        <v>21</v>
      </c>
      <c r="AO164" s="13">
        <f>H164*0.804217525</f>
        <v>0</v>
      </c>
      <c r="AP164" s="13">
        <f>H164*(1-0.804217525)</f>
        <v>0</v>
      </c>
      <c r="AQ164" s="79" t="s">
        <v>75</v>
      </c>
      <c r="AV164" s="13">
        <f>AW164+AX164</f>
        <v>0</v>
      </c>
      <c r="AW164" s="13">
        <f>G164*AO164</f>
        <v>0</v>
      </c>
      <c r="AX164" s="13">
        <f>G164*AP164</f>
        <v>0</v>
      </c>
      <c r="AY164" s="79" t="s">
        <v>841</v>
      </c>
      <c r="AZ164" s="79" t="s">
        <v>837</v>
      </c>
      <c r="BA164" s="30" t="s">
        <v>801</v>
      </c>
      <c r="BC164" s="13">
        <f>AW164+AX164</f>
        <v>0</v>
      </c>
      <c r="BD164" s="13">
        <f>H164/(100-BE164)*100</f>
        <v>0</v>
      </c>
      <c r="BE164" s="13">
        <v>0</v>
      </c>
      <c r="BF164" s="13">
        <f>164</f>
        <v>164</v>
      </c>
      <c r="BH164" s="13">
        <f>G164*AO164</f>
        <v>0</v>
      </c>
      <c r="BI164" s="13">
        <f>G164*AP164</f>
        <v>0</v>
      </c>
      <c r="BJ164" s="13">
        <f>G164*H164</f>
        <v>0</v>
      </c>
      <c r="BK164" s="13"/>
      <c r="BL164" s="13">
        <v>734</v>
      </c>
      <c r="BW164" s="13">
        <v>21</v>
      </c>
    </row>
    <row r="165" spans="1:75" ht="13.5" customHeight="1" x14ac:dyDescent="0.25">
      <c r="A165" s="32"/>
      <c r="C165" s="80" t="s">
        <v>49</v>
      </c>
      <c r="D165" s="113" t="s">
        <v>175</v>
      </c>
      <c r="E165" s="114"/>
      <c r="F165" s="114"/>
      <c r="G165" s="114"/>
      <c r="H165" s="184"/>
      <c r="I165" s="114"/>
      <c r="J165" s="114"/>
      <c r="K165" s="185"/>
    </row>
    <row r="166" spans="1:75" ht="13.5" customHeight="1" x14ac:dyDescent="0.25">
      <c r="A166" s="1" t="s">
        <v>407</v>
      </c>
      <c r="B166" s="2" t="s">
        <v>26</v>
      </c>
      <c r="C166" s="2" t="s">
        <v>408</v>
      </c>
      <c r="D166" s="95" t="s">
        <v>409</v>
      </c>
      <c r="E166" s="88"/>
      <c r="F166" s="2" t="s">
        <v>107</v>
      </c>
      <c r="G166" s="13">
        <v>1</v>
      </c>
      <c r="H166" s="78">
        <v>0</v>
      </c>
      <c r="I166" s="13">
        <f>G166*H166</f>
        <v>0</v>
      </c>
      <c r="K166" s="34"/>
      <c r="Z166" s="13">
        <f>IF(AQ166="5",BJ166,0)</f>
        <v>0</v>
      </c>
      <c r="AB166" s="13">
        <f>IF(AQ166="1",BH166,0)</f>
        <v>0</v>
      </c>
      <c r="AC166" s="13">
        <f>IF(AQ166="1",BI166,0)</f>
        <v>0</v>
      </c>
      <c r="AD166" s="13">
        <f>IF(AQ166="7",BH166,0)</f>
        <v>0</v>
      </c>
      <c r="AE166" s="13">
        <f>IF(AQ166="7",BI166,0)</f>
        <v>0</v>
      </c>
      <c r="AF166" s="13">
        <f>IF(AQ166="2",BH166,0)</f>
        <v>0</v>
      </c>
      <c r="AG166" s="13">
        <f>IF(AQ166="2",BI166,0)</f>
        <v>0</v>
      </c>
      <c r="AH166" s="13">
        <f>IF(AQ166="0",BJ166,0)</f>
        <v>0</v>
      </c>
      <c r="AI166" s="30" t="s">
        <v>26</v>
      </c>
      <c r="AJ166" s="13">
        <f>IF(AN166=0,I166,0)</f>
        <v>0</v>
      </c>
      <c r="AK166" s="13">
        <f>IF(AN166=12,I166,0)</f>
        <v>0</v>
      </c>
      <c r="AL166" s="13">
        <f>IF(AN166=21,I166,0)</f>
        <v>0</v>
      </c>
      <c r="AN166" s="13">
        <v>21</v>
      </c>
      <c r="AO166" s="13">
        <f>H166*0.85879562</f>
        <v>0</v>
      </c>
      <c r="AP166" s="13">
        <f>H166*(1-0.85879562)</f>
        <v>0</v>
      </c>
      <c r="AQ166" s="79" t="s">
        <v>75</v>
      </c>
      <c r="AV166" s="13">
        <f>AW166+AX166</f>
        <v>0</v>
      </c>
      <c r="AW166" s="13">
        <f>G166*AO166</f>
        <v>0</v>
      </c>
      <c r="AX166" s="13">
        <f>G166*AP166</f>
        <v>0</v>
      </c>
      <c r="AY166" s="79" t="s">
        <v>841</v>
      </c>
      <c r="AZ166" s="79" t="s">
        <v>837</v>
      </c>
      <c r="BA166" s="30" t="s">
        <v>801</v>
      </c>
      <c r="BC166" s="13">
        <f>AW166+AX166</f>
        <v>0</v>
      </c>
      <c r="BD166" s="13">
        <f>H166/(100-BE166)*100</f>
        <v>0</v>
      </c>
      <c r="BE166" s="13">
        <v>0</v>
      </c>
      <c r="BF166" s="13">
        <f>166</f>
        <v>166</v>
      </c>
      <c r="BH166" s="13">
        <f>G166*AO166</f>
        <v>0</v>
      </c>
      <c r="BI166" s="13">
        <f>G166*AP166</f>
        <v>0</v>
      </c>
      <c r="BJ166" s="13">
        <f>G166*H166</f>
        <v>0</v>
      </c>
      <c r="BK166" s="13"/>
      <c r="BL166" s="13">
        <v>734</v>
      </c>
      <c r="BW166" s="13">
        <v>21</v>
      </c>
    </row>
    <row r="167" spans="1:75" ht="13.5" customHeight="1" x14ac:dyDescent="0.25">
      <c r="A167" s="1" t="s">
        <v>410</v>
      </c>
      <c r="B167" s="2" t="s">
        <v>26</v>
      </c>
      <c r="C167" s="2" t="s">
        <v>411</v>
      </c>
      <c r="D167" s="95" t="s">
        <v>412</v>
      </c>
      <c r="E167" s="88"/>
      <c r="F167" s="2" t="s">
        <v>61</v>
      </c>
      <c r="G167" s="13">
        <v>5</v>
      </c>
      <c r="H167" s="78">
        <v>0</v>
      </c>
      <c r="I167" s="13">
        <f>G167*H167</f>
        <v>0</v>
      </c>
      <c r="K167" s="34"/>
      <c r="Z167" s="13">
        <f>IF(AQ167="5",BJ167,0)</f>
        <v>0</v>
      </c>
      <c r="AB167" s="13">
        <f>IF(AQ167="1",BH167,0)</f>
        <v>0</v>
      </c>
      <c r="AC167" s="13">
        <f>IF(AQ167="1",BI167,0)</f>
        <v>0</v>
      </c>
      <c r="AD167" s="13">
        <f>IF(AQ167="7",BH167,0)</f>
        <v>0</v>
      </c>
      <c r="AE167" s="13">
        <f>IF(AQ167="7",BI167,0)</f>
        <v>0</v>
      </c>
      <c r="AF167" s="13">
        <f>IF(AQ167="2",BH167,0)</f>
        <v>0</v>
      </c>
      <c r="AG167" s="13">
        <f>IF(AQ167="2",BI167,0)</f>
        <v>0</v>
      </c>
      <c r="AH167" s="13">
        <f>IF(AQ167="0",BJ167,0)</f>
        <v>0</v>
      </c>
      <c r="AI167" s="30" t="s">
        <v>26</v>
      </c>
      <c r="AJ167" s="13">
        <f>IF(AN167=0,I167,0)</f>
        <v>0</v>
      </c>
      <c r="AK167" s="13">
        <f>IF(AN167=12,I167,0)</f>
        <v>0</v>
      </c>
      <c r="AL167" s="13">
        <f>IF(AN167=21,I167,0)</f>
        <v>0</v>
      </c>
      <c r="AN167" s="13">
        <v>21</v>
      </c>
      <c r="AO167" s="13">
        <f>H167*0.544777228</f>
        <v>0</v>
      </c>
      <c r="AP167" s="13">
        <f>H167*(1-0.544777228)</f>
        <v>0</v>
      </c>
      <c r="AQ167" s="79" t="s">
        <v>75</v>
      </c>
      <c r="AV167" s="13">
        <f>AW167+AX167</f>
        <v>0</v>
      </c>
      <c r="AW167" s="13">
        <f>G167*AO167</f>
        <v>0</v>
      </c>
      <c r="AX167" s="13">
        <f>G167*AP167</f>
        <v>0</v>
      </c>
      <c r="AY167" s="79" t="s">
        <v>841</v>
      </c>
      <c r="AZ167" s="79" t="s">
        <v>837</v>
      </c>
      <c r="BA167" s="30" t="s">
        <v>801</v>
      </c>
      <c r="BC167" s="13">
        <f>AW167+AX167</f>
        <v>0</v>
      </c>
      <c r="BD167" s="13">
        <f>H167/(100-BE167)*100</f>
        <v>0</v>
      </c>
      <c r="BE167" s="13">
        <v>0</v>
      </c>
      <c r="BF167" s="13">
        <f>167</f>
        <v>167</v>
      </c>
      <c r="BH167" s="13">
        <f>G167*AO167</f>
        <v>0</v>
      </c>
      <c r="BI167" s="13">
        <f>G167*AP167</f>
        <v>0</v>
      </c>
      <c r="BJ167" s="13">
        <f>G167*H167</f>
        <v>0</v>
      </c>
      <c r="BK167" s="13"/>
      <c r="BL167" s="13">
        <v>734</v>
      </c>
      <c r="BW167" s="13">
        <v>21</v>
      </c>
    </row>
    <row r="168" spans="1:75" ht="13.5" customHeight="1" x14ac:dyDescent="0.25">
      <c r="A168" s="1" t="s">
        <v>413</v>
      </c>
      <c r="B168" s="2" t="s">
        <v>26</v>
      </c>
      <c r="C168" s="2" t="s">
        <v>414</v>
      </c>
      <c r="D168" s="95" t="s">
        <v>415</v>
      </c>
      <c r="E168" s="88"/>
      <c r="F168" s="2" t="s">
        <v>61</v>
      </c>
      <c r="G168" s="13">
        <v>6</v>
      </c>
      <c r="H168" s="78">
        <v>0</v>
      </c>
      <c r="I168" s="13">
        <f>G168*H168</f>
        <v>0</v>
      </c>
      <c r="K168" s="34"/>
      <c r="Z168" s="13">
        <f>IF(AQ168="5",BJ168,0)</f>
        <v>0</v>
      </c>
      <c r="AB168" s="13">
        <f>IF(AQ168="1",BH168,0)</f>
        <v>0</v>
      </c>
      <c r="AC168" s="13">
        <f>IF(AQ168="1",BI168,0)</f>
        <v>0</v>
      </c>
      <c r="AD168" s="13">
        <f>IF(AQ168="7",BH168,0)</f>
        <v>0</v>
      </c>
      <c r="AE168" s="13">
        <f>IF(AQ168="7",BI168,0)</f>
        <v>0</v>
      </c>
      <c r="AF168" s="13">
        <f>IF(AQ168="2",BH168,0)</f>
        <v>0</v>
      </c>
      <c r="AG168" s="13">
        <f>IF(AQ168="2",BI168,0)</f>
        <v>0</v>
      </c>
      <c r="AH168" s="13">
        <f>IF(AQ168="0",BJ168,0)</f>
        <v>0</v>
      </c>
      <c r="AI168" s="30" t="s">
        <v>26</v>
      </c>
      <c r="AJ168" s="13">
        <f>IF(AN168=0,I168,0)</f>
        <v>0</v>
      </c>
      <c r="AK168" s="13">
        <f>IF(AN168=12,I168,0)</f>
        <v>0</v>
      </c>
      <c r="AL168" s="13">
        <f>IF(AN168=21,I168,0)</f>
        <v>0</v>
      </c>
      <c r="AN168" s="13">
        <v>21</v>
      </c>
      <c r="AO168" s="13">
        <f>H168*0.572611465</f>
        <v>0</v>
      </c>
      <c r="AP168" s="13">
        <f>H168*(1-0.572611465)</f>
        <v>0</v>
      </c>
      <c r="AQ168" s="79" t="s">
        <v>75</v>
      </c>
      <c r="AV168" s="13">
        <f>AW168+AX168</f>
        <v>0</v>
      </c>
      <c r="AW168" s="13">
        <f>G168*AO168</f>
        <v>0</v>
      </c>
      <c r="AX168" s="13">
        <f>G168*AP168</f>
        <v>0</v>
      </c>
      <c r="AY168" s="79" t="s">
        <v>841</v>
      </c>
      <c r="AZ168" s="79" t="s">
        <v>837</v>
      </c>
      <c r="BA168" s="30" t="s">
        <v>801</v>
      </c>
      <c r="BC168" s="13">
        <f>AW168+AX168</f>
        <v>0</v>
      </c>
      <c r="BD168" s="13">
        <f>H168/(100-BE168)*100</f>
        <v>0</v>
      </c>
      <c r="BE168" s="13">
        <v>0</v>
      </c>
      <c r="BF168" s="13">
        <f>168</f>
        <v>168</v>
      </c>
      <c r="BH168" s="13">
        <f>G168*AO168</f>
        <v>0</v>
      </c>
      <c r="BI168" s="13">
        <f>G168*AP168</f>
        <v>0</v>
      </c>
      <c r="BJ168" s="13">
        <f>G168*H168</f>
        <v>0</v>
      </c>
      <c r="BK168" s="13"/>
      <c r="BL168" s="13">
        <v>734</v>
      </c>
      <c r="BW168" s="13">
        <v>21</v>
      </c>
    </row>
    <row r="169" spans="1:75" ht="13.5" customHeight="1" x14ac:dyDescent="0.25">
      <c r="A169" s="1" t="s">
        <v>416</v>
      </c>
      <c r="B169" s="2" t="s">
        <v>26</v>
      </c>
      <c r="C169" s="2" t="s">
        <v>417</v>
      </c>
      <c r="D169" s="95" t="s">
        <v>418</v>
      </c>
      <c r="E169" s="88"/>
      <c r="F169" s="2" t="s">
        <v>107</v>
      </c>
      <c r="G169" s="13">
        <v>2</v>
      </c>
      <c r="H169" s="78">
        <v>0</v>
      </c>
      <c r="I169" s="13">
        <f>G169*H169</f>
        <v>0</v>
      </c>
      <c r="K169" s="34"/>
      <c r="Z169" s="13">
        <f>IF(AQ169="5",BJ169,0)</f>
        <v>0</v>
      </c>
      <c r="AB169" s="13">
        <f>IF(AQ169="1",BH169,0)</f>
        <v>0</v>
      </c>
      <c r="AC169" s="13">
        <f>IF(AQ169="1",BI169,0)</f>
        <v>0</v>
      </c>
      <c r="AD169" s="13">
        <f>IF(AQ169="7",BH169,0)</f>
        <v>0</v>
      </c>
      <c r="AE169" s="13">
        <f>IF(AQ169="7",BI169,0)</f>
        <v>0</v>
      </c>
      <c r="AF169" s="13">
        <f>IF(AQ169="2",BH169,0)</f>
        <v>0</v>
      </c>
      <c r="AG169" s="13">
        <f>IF(AQ169="2",BI169,0)</f>
        <v>0</v>
      </c>
      <c r="AH169" s="13">
        <f>IF(AQ169="0",BJ169,0)</f>
        <v>0</v>
      </c>
      <c r="AI169" s="30" t="s">
        <v>26</v>
      </c>
      <c r="AJ169" s="13">
        <f>IF(AN169=0,I169,0)</f>
        <v>0</v>
      </c>
      <c r="AK169" s="13">
        <f>IF(AN169=12,I169,0)</f>
        <v>0</v>
      </c>
      <c r="AL169" s="13">
        <f>IF(AN169=21,I169,0)</f>
        <v>0</v>
      </c>
      <c r="AN169" s="13">
        <v>21</v>
      </c>
      <c r="AO169" s="13">
        <f>H169*0</f>
        <v>0</v>
      </c>
      <c r="AP169" s="13">
        <f>H169*(1-0)</f>
        <v>0</v>
      </c>
      <c r="AQ169" s="79" t="s">
        <v>62</v>
      </c>
      <c r="AV169" s="13">
        <f>AW169+AX169</f>
        <v>0</v>
      </c>
      <c r="AW169" s="13">
        <f>G169*AO169</f>
        <v>0</v>
      </c>
      <c r="AX169" s="13">
        <f>G169*AP169</f>
        <v>0</v>
      </c>
      <c r="AY169" s="79" t="s">
        <v>841</v>
      </c>
      <c r="AZ169" s="79" t="s">
        <v>837</v>
      </c>
      <c r="BA169" s="30" t="s">
        <v>801</v>
      </c>
      <c r="BC169" s="13">
        <f>AW169+AX169</f>
        <v>0</v>
      </c>
      <c r="BD169" s="13">
        <f>H169/(100-BE169)*100</f>
        <v>0</v>
      </c>
      <c r="BE169" s="13">
        <v>0</v>
      </c>
      <c r="BF169" s="13">
        <f>169</f>
        <v>169</v>
      </c>
      <c r="BH169" s="13">
        <f>G169*AO169</f>
        <v>0</v>
      </c>
      <c r="BI169" s="13">
        <f>G169*AP169</f>
        <v>0</v>
      </c>
      <c r="BJ169" s="13">
        <f>G169*H169</f>
        <v>0</v>
      </c>
      <c r="BK169" s="13"/>
      <c r="BL169" s="13">
        <v>734</v>
      </c>
      <c r="BW169" s="13">
        <v>21</v>
      </c>
    </row>
    <row r="170" spans="1:75" ht="13.5" customHeight="1" x14ac:dyDescent="0.25">
      <c r="A170" s="1" t="s">
        <v>419</v>
      </c>
      <c r="B170" s="2" t="s">
        <v>26</v>
      </c>
      <c r="C170" s="2" t="s">
        <v>420</v>
      </c>
      <c r="D170" s="95" t="s">
        <v>421</v>
      </c>
      <c r="E170" s="88"/>
      <c r="F170" s="2" t="s">
        <v>231</v>
      </c>
      <c r="G170" s="13">
        <v>253.85</v>
      </c>
      <c r="H170" s="78">
        <v>0</v>
      </c>
      <c r="I170" s="13">
        <f>G170*H170</f>
        <v>0</v>
      </c>
      <c r="K170" s="34"/>
      <c r="Z170" s="13">
        <f>IF(AQ170="5",BJ170,0)</f>
        <v>0</v>
      </c>
      <c r="AB170" s="13">
        <f>IF(AQ170="1",BH170,0)</f>
        <v>0</v>
      </c>
      <c r="AC170" s="13">
        <f>IF(AQ170="1",BI170,0)</f>
        <v>0</v>
      </c>
      <c r="AD170" s="13">
        <f>IF(AQ170="7",BH170,0)</f>
        <v>0</v>
      </c>
      <c r="AE170" s="13">
        <f>IF(AQ170="7",BI170,0)</f>
        <v>0</v>
      </c>
      <c r="AF170" s="13">
        <f>IF(AQ170="2",BH170,0)</f>
        <v>0</v>
      </c>
      <c r="AG170" s="13">
        <f>IF(AQ170="2",BI170,0)</f>
        <v>0</v>
      </c>
      <c r="AH170" s="13">
        <f>IF(AQ170="0",BJ170,0)</f>
        <v>0</v>
      </c>
      <c r="AI170" s="30" t="s">
        <v>26</v>
      </c>
      <c r="AJ170" s="13">
        <f>IF(AN170=0,I170,0)</f>
        <v>0</v>
      </c>
      <c r="AK170" s="13">
        <f>IF(AN170=12,I170,0)</f>
        <v>0</v>
      </c>
      <c r="AL170" s="13">
        <f>IF(AN170=21,I170,0)</f>
        <v>0</v>
      </c>
      <c r="AN170" s="13">
        <v>21</v>
      </c>
      <c r="AO170" s="13">
        <f>H170*0</f>
        <v>0</v>
      </c>
      <c r="AP170" s="13">
        <f>H170*(1-0)</f>
        <v>0</v>
      </c>
      <c r="AQ170" s="79" t="s">
        <v>70</v>
      </c>
      <c r="AV170" s="13">
        <f>AW170+AX170</f>
        <v>0</v>
      </c>
      <c r="AW170" s="13">
        <f>G170*AO170</f>
        <v>0</v>
      </c>
      <c r="AX170" s="13">
        <f>G170*AP170</f>
        <v>0</v>
      </c>
      <c r="AY170" s="79" t="s">
        <v>841</v>
      </c>
      <c r="AZ170" s="79" t="s">
        <v>837</v>
      </c>
      <c r="BA170" s="30" t="s">
        <v>801</v>
      </c>
      <c r="BC170" s="13">
        <f>AW170+AX170</f>
        <v>0</v>
      </c>
      <c r="BD170" s="13">
        <f>H170/(100-BE170)*100</f>
        <v>0</v>
      </c>
      <c r="BE170" s="13">
        <v>0</v>
      </c>
      <c r="BF170" s="13">
        <f>170</f>
        <v>170</v>
      </c>
      <c r="BH170" s="13">
        <f>G170*AO170</f>
        <v>0</v>
      </c>
      <c r="BI170" s="13">
        <f>G170*AP170</f>
        <v>0</v>
      </c>
      <c r="BJ170" s="13">
        <f>G170*H170</f>
        <v>0</v>
      </c>
      <c r="BK170" s="13"/>
      <c r="BL170" s="13">
        <v>734</v>
      </c>
      <c r="BW170" s="13">
        <v>21</v>
      </c>
    </row>
    <row r="171" spans="1:75" x14ac:dyDescent="0.25">
      <c r="A171" s="75" t="s">
        <v>20</v>
      </c>
      <c r="B171" s="29" t="s">
        <v>26</v>
      </c>
      <c r="C171" s="29" t="s">
        <v>422</v>
      </c>
      <c r="D171" s="183" t="s">
        <v>423</v>
      </c>
      <c r="E171" s="112"/>
      <c r="F171" s="76" t="s">
        <v>13</v>
      </c>
      <c r="G171" s="76" t="s">
        <v>13</v>
      </c>
      <c r="H171" s="77" t="s">
        <v>13</v>
      </c>
      <c r="I171" s="61">
        <f>SUM(I172:I180)</f>
        <v>0</v>
      </c>
      <c r="K171" s="34"/>
      <c r="AI171" s="30" t="s">
        <v>26</v>
      </c>
      <c r="AS171" s="61">
        <f>SUM(AJ172:AJ180)</f>
        <v>0</v>
      </c>
      <c r="AT171" s="61">
        <f>SUM(AK172:AK180)</f>
        <v>0</v>
      </c>
      <c r="AU171" s="61">
        <f>SUM(AL172:AL180)</f>
        <v>0</v>
      </c>
    </row>
    <row r="172" spans="1:75" ht="13.5" customHeight="1" x14ac:dyDescent="0.25">
      <c r="A172" s="1" t="s">
        <v>424</v>
      </c>
      <c r="B172" s="2" t="s">
        <v>26</v>
      </c>
      <c r="C172" s="2" t="s">
        <v>425</v>
      </c>
      <c r="D172" s="95" t="s">
        <v>426</v>
      </c>
      <c r="E172" s="88"/>
      <c r="F172" s="2" t="s">
        <v>91</v>
      </c>
      <c r="G172" s="13">
        <v>1.83</v>
      </c>
      <c r="H172" s="78">
        <v>0</v>
      </c>
      <c r="I172" s="13">
        <f>G172*H172</f>
        <v>0</v>
      </c>
      <c r="K172" s="34"/>
      <c r="Z172" s="13">
        <f>IF(AQ172="5",BJ172,0)</f>
        <v>0</v>
      </c>
      <c r="AB172" s="13">
        <f>IF(AQ172="1",BH172,0)</f>
        <v>0</v>
      </c>
      <c r="AC172" s="13">
        <f>IF(AQ172="1",BI172,0)</f>
        <v>0</v>
      </c>
      <c r="AD172" s="13">
        <f>IF(AQ172="7",BH172,0)</f>
        <v>0</v>
      </c>
      <c r="AE172" s="13">
        <f>IF(AQ172="7",BI172,0)</f>
        <v>0</v>
      </c>
      <c r="AF172" s="13">
        <f>IF(AQ172="2",BH172,0)</f>
        <v>0</v>
      </c>
      <c r="AG172" s="13">
        <f>IF(AQ172="2",BI172,0)</f>
        <v>0</v>
      </c>
      <c r="AH172" s="13">
        <f>IF(AQ172="0",BJ172,0)</f>
        <v>0</v>
      </c>
      <c r="AI172" s="30" t="s">
        <v>26</v>
      </c>
      <c r="AJ172" s="13">
        <f>IF(AN172=0,I172,0)</f>
        <v>0</v>
      </c>
      <c r="AK172" s="13">
        <f>IF(AN172=12,I172,0)</f>
        <v>0</v>
      </c>
      <c r="AL172" s="13">
        <f>IF(AN172=21,I172,0)</f>
        <v>0</v>
      </c>
      <c r="AN172" s="13">
        <v>21</v>
      </c>
      <c r="AO172" s="13">
        <f>H172*0</f>
        <v>0</v>
      </c>
      <c r="AP172" s="13">
        <f>H172*(1-0)</f>
        <v>0</v>
      </c>
      <c r="AQ172" s="79" t="s">
        <v>75</v>
      </c>
      <c r="AV172" s="13">
        <f>AW172+AX172</f>
        <v>0</v>
      </c>
      <c r="AW172" s="13">
        <f>G172*AO172</f>
        <v>0</v>
      </c>
      <c r="AX172" s="13">
        <f>G172*AP172</f>
        <v>0</v>
      </c>
      <c r="AY172" s="79" t="s">
        <v>843</v>
      </c>
      <c r="AZ172" s="79" t="s">
        <v>837</v>
      </c>
      <c r="BA172" s="30" t="s">
        <v>801</v>
      </c>
      <c r="BC172" s="13">
        <f>AW172+AX172</f>
        <v>0</v>
      </c>
      <c r="BD172" s="13">
        <f>H172/(100-BE172)*100</f>
        <v>0</v>
      </c>
      <c r="BE172" s="13">
        <v>0</v>
      </c>
      <c r="BF172" s="13">
        <f>172</f>
        <v>172</v>
      </c>
      <c r="BH172" s="13">
        <f>G172*AO172</f>
        <v>0</v>
      </c>
      <c r="BI172" s="13">
        <f>G172*AP172</f>
        <v>0</v>
      </c>
      <c r="BJ172" s="13">
        <f>G172*H172</f>
        <v>0</v>
      </c>
      <c r="BK172" s="13"/>
      <c r="BL172" s="13">
        <v>735</v>
      </c>
      <c r="BW172" s="13">
        <v>21</v>
      </c>
    </row>
    <row r="173" spans="1:75" ht="13.5" customHeight="1" x14ac:dyDescent="0.25">
      <c r="A173" s="1" t="s">
        <v>427</v>
      </c>
      <c r="B173" s="2" t="s">
        <v>26</v>
      </c>
      <c r="C173" s="2" t="s">
        <v>428</v>
      </c>
      <c r="D173" s="95" t="s">
        <v>429</v>
      </c>
      <c r="E173" s="88"/>
      <c r="F173" s="2" t="s">
        <v>107</v>
      </c>
      <c r="G173" s="13">
        <v>2</v>
      </c>
      <c r="H173" s="78">
        <v>0</v>
      </c>
      <c r="I173" s="13">
        <f>G173*H173</f>
        <v>0</v>
      </c>
      <c r="K173" s="34"/>
      <c r="Z173" s="13">
        <f>IF(AQ173="5",BJ173,0)</f>
        <v>0</v>
      </c>
      <c r="AB173" s="13">
        <f>IF(AQ173="1",BH173,0)</f>
        <v>0</v>
      </c>
      <c r="AC173" s="13">
        <f>IF(AQ173="1",BI173,0)</f>
        <v>0</v>
      </c>
      <c r="AD173" s="13">
        <f>IF(AQ173="7",BH173,0)</f>
        <v>0</v>
      </c>
      <c r="AE173" s="13">
        <f>IF(AQ173="7",BI173,0)</f>
        <v>0</v>
      </c>
      <c r="AF173" s="13">
        <f>IF(AQ173="2",BH173,0)</f>
        <v>0</v>
      </c>
      <c r="AG173" s="13">
        <f>IF(AQ173="2",BI173,0)</f>
        <v>0</v>
      </c>
      <c r="AH173" s="13">
        <f>IF(AQ173="0",BJ173,0)</f>
        <v>0</v>
      </c>
      <c r="AI173" s="30" t="s">
        <v>26</v>
      </c>
      <c r="AJ173" s="13">
        <f>IF(AN173=0,I173,0)</f>
        <v>0</v>
      </c>
      <c r="AK173" s="13">
        <f>IF(AN173=12,I173,0)</f>
        <v>0</v>
      </c>
      <c r="AL173" s="13">
        <f>IF(AN173=21,I173,0)</f>
        <v>0</v>
      </c>
      <c r="AN173" s="13">
        <v>21</v>
      </c>
      <c r="AO173" s="13">
        <f>H173*0.898413098</f>
        <v>0</v>
      </c>
      <c r="AP173" s="13">
        <f>H173*(1-0.898413098)</f>
        <v>0</v>
      </c>
      <c r="AQ173" s="79" t="s">
        <v>75</v>
      </c>
      <c r="AV173" s="13">
        <f>AW173+AX173</f>
        <v>0</v>
      </c>
      <c r="AW173" s="13">
        <f>G173*AO173</f>
        <v>0</v>
      </c>
      <c r="AX173" s="13">
        <f>G173*AP173</f>
        <v>0</v>
      </c>
      <c r="AY173" s="79" t="s">
        <v>843</v>
      </c>
      <c r="AZ173" s="79" t="s">
        <v>837</v>
      </c>
      <c r="BA173" s="30" t="s">
        <v>801</v>
      </c>
      <c r="BC173" s="13">
        <f>AW173+AX173</f>
        <v>0</v>
      </c>
      <c r="BD173" s="13">
        <f>H173/(100-BE173)*100</f>
        <v>0</v>
      </c>
      <c r="BE173" s="13">
        <v>0</v>
      </c>
      <c r="BF173" s="13">
        <f>173</f>
        <v>173</v>
      </c>
      <c r="BH173" s="13">
        <f>G173*AO173</f>
        <v>0</v>
      </c>
      <c r="BI173" s="13">
        <f>G173*AP173</f>
        <v>0</v>
      </c>
      <c r="BJ173" s="13">
        <f>G173*H173</f>
        <v>0</v>
      </c>
      <c r="BK173" s="13"/>
      <c r="BL173" s="13">
        <v>735</v>
      </c>
      <c r="BW173" s="13">
        <v>21</v>
      </c>
    </row>
    <row r="174" spans="1:75" ht="13.5" customHeight="1" x14ac:dyDescent="0.25">
      <c r="A174" s="1" t="s">
        <v>430</v>
      </c>
      <c r="B174" s="2" t="s">
        <v>26</v>
      </c>
      <c r="C174" s="2" t="s">
        <v>431</v>
      </c>
      <c r="D174" s="95" t="s">
        <v>432</v>
      </c>
      <c r="E174" s="88"/>
      <c r="F174" s="2" t="s">
        <v>107</v>
      </c>
      <c r="G174" s="13">
        <v>1</v>
      </c>
      <c r="H174" s="78">
        <v>0</v>
      </c>
      <c r="I174" s="13">
        <f>G174*H174</f>
        <v>0</v>
      </c>
      <c r="K174" s="34"/>
      <c r="Z174" s="13">
        <f>IF(AQ174="5",BJ174,0)</f>
        <v>0</v>
      </c>
      <c r="AB174" s="13">
        <f>IF(AQ174="1",BH174,0)</f>
        <v>0</v>
      </c>
      <c r="AC174" s="13">
        <f>IF(AQ174="1",BI174,0)</f>
        <v>0</v>
      </c>
      <c r="AD174" s="13">
        <f>IF(AQ174="7",BH174,0)</f>
        <v>0</v>
      </c>
      <c r="AE174" s="13">
        <f>IF(AQ174="7",BI174,0)</f>
        <v>0</v>
      </c>
      <c r="AF174" s="13">
        <f>IF(AQ174="2",BH174,0)</f>
        <v>0</v>
      </c>
      <c r="AG174" s="13">
        <f>IF(AQ174="2",BI174,0)</f>
        <v>0</v>
      </c>
      <c r="AH174" s="13">
        <f>IF(AQ174="0",BJ174,0)</f>
        <v>0</v>
      </c>
      <c r="AI174" s="30" t="s">
        <v>26</v>
      </c>
      <c r="AJ174" s="13">
        <f>IF(AN174=0,I174,0)</f>
        <v>0</v>
      </c>
      <c r="AK174" s="13">
        <f>IF(AN174=12,I174,0)</f>
        <v>0</v>
      </c>
      <c r="AL174" s="13">
        <f>IF(AN174=21,I174,0)</f>
        <v>0</v>
      </c>
      <c r="AN174" s="13">
        <v>21</v>
      </c>
      <c r="AO174" s="13">
        <f>H174*0.934438871</f>
        <v>0</v>
      </c>
      <c r="AP174" s="13">
        <f>H174*(1-0.934438871)</f>
        <v>0</v>
      </c>
      <c r="AQ174" s="79" t="s">
        <v>75</v>
      </c>
      <c r="AV174" s="13">
        <f>AW174+AX174</f>
        <v>0</v>
      </c>
      <c r="AW174" s="13">
        <f>G174*AO174</f>
        <v>0</v>
      </c>
      <c r="AX174" s="13">
        <f>G174*AP174</f>
        <v>0</v>
      </c>
      <c r="AY174" s="79" t="s">
        <v>843</v>
      </c>
      <c r="AZ174" s="79" t="s">
        <v>837</v>
      </c>
      <c r="BA174" s="30" t="s">
        <v>801</v>
      </c>
      <c r="BC174" s="13">
        <f>AW174+AX174</f>
        <v>0</v>
      </c>
      <c r="BD174" s="13">
        <f>H174/(100-BE174)*100</f>
        <v>0</v>
      </c>
      <c r="BE174" s="13">
        <v>0</v>
      </c>
      <c r="BF174" s="13">
        <f>174</f>
        <v>174</v>
      </c>
      <c r="BH174" s="13">
        <f>G174*AO174</f>
        <v>0</v>
      </c>
      <c r="BI174" s="13">
        <f>G174*AP174</f>
        <v>0</v>
      </c>
      <c r="BJ174" s="13">
        <f>G174*H174</f>
        <v>0</v>
      </c>
      <c r="BK174" s="13"/>
      <c r="BL174" s="13">
        <v>735</v>
      </c>
      <c r="BW174" s="13">
        <v>21</v>
      </c>
    </row>
    <row r="175" spans="1:75" ht="13.5" customHeight="1" x14ac:dyDescent="0.25">
      <c r="A175" s="1" t="s">
        <v>433</v>
      </c>
      <c r="B175" s="2" t="s">
        <v>26</v>
      </c>
      <c r="C175" s="2" t="s">
        <v>434</v>
      </c>
      <c r="D175" s="95" t="s">
        <v>435</v>
      </c>
      <c r="E175" s="88"/>
      <c r="F175" s="2" t="s">
        <v>107</v>
      </c>
      <c r="G175" s="13">
        <v>2</v>
      </c>
      <c r="H175" s="78">
        <v>0</v>
      </c>
      <c r="I175" s="13">
        <f>G175*H175</f>
        <v>0</v>
      </c>
      <c r="K175" s="34"/>
      <c r="Z175" s="13">
        <f>IF(AQ175="5",BJ175,0)</f>
        <v>0</v>
      </c>
      <c r="AB175" s="13">
        <f>IF(AQ175="1",BH175,0)</f>
        <v>0</v>
      </c>
      <c r="AC175" s="13">
        <f>IF(AQ175="1",BI175,0)</f>
        <v>0</v>
      </c>
      <c r="AD175" s="13">
        <f>IF(AQ175="7",BH175,0)</f>
        <v>0</v>
      </c>
      <c r="AE175" s="13">
        <f>IF(AQ175="7",BI175,0)</f>
        <v>0</v>
      </c>
      <c r="AF175" s="13">
        <f>IF(AQ175="2",BH175,0)</f>
        <v>0</v>
      </c>
      <c r="AG175" s="13">
        <f>IF(AQ175="2",BI175,0)</f>
        <v>0</v>
      </c>
      <c r="AH175" s="13">
        <f>IF(AQ175="0",BJ175,0)</f>
        <v>0</v>
      </c>
      <c r="AI175" s="30" t="s">
        <v>26</v>
      </c>
      <c r="AJ175" s="13">
        <f>IF(AN175=0,I175,0)</f>
        <v>0</v>
      </c>
      <c r="AK175" s="13">
        <f>IF(AN175=12,I175,0)</f>
        <v>0</v>
      </c>
      <c r="AL175" s="13">
        <f>IF(AN175=21,I175,0)</f>
        <v>0</v>
      </c>
      <c r="AN175" s="13">
        <v>21</v>
      </c>
      <c r="AO175" s="13">
        <f>H175*0</f>
        <v>0</v>
      </c>
      <c r="AP175" s="13">
        <f>H175*(1-0)</f>
        <v>0</v>
      </c>
      <c r="AQ175" s="79" t="s">
        <v>75</v>
      </c>
      <c r="AV175" s="13">
        <f>AW175+AX175</f>
        <v>0</v>
      </c>
      <c r="AW175" s="13">
        <f>G175*AO175</f>
        <v>0</v>
      </c>
      <c r="AX175" s="13">
        <f>G175*AP175</f>
        <v>0</v>
      </c>
      <c r="AY175" s="79" t="s">
        <v>843</v>
      </c>
      <c r="AZ175" s="79" t="s">
        <v>837</v>
      </c>
      <c r="BA175" s="30" t="s">
        <v>801</v>
      </c>
      <c r="BC175" s="13">
        <f>AW175+AX175</f>
        <v>0</v>
      </c>
      <c r="BD175" s="13">
        <f>H175/(100-BE175)*100</f>
        <v>0</v>
      </c>
      <c r="BE175" s="13">
        <v>0</v>
      </c>
      <c r="BF175" s="13">
        <f>175</f>
        <v>175</v>
      </c>
      <c r="BH175" s="13">
        <f>G175*AO175</f>
        <v>0</v>
      </c>
      <c r="BI175" s="13">
        <f>G175*AP175</f>
        <v>0</v>
      </c>
      <c r="BJ175" s="13">
        <f>G175*H175</f>
        <v>0</v>
      </c>
      <c r="BK175" s="13"/>
      <c r="BL175" s="13">
        <v>735</v>
      </c>
      <c r="BW175" s="13">
        <v>21</v>
      </c>
    </row>
    <row r="176" spans="1:75" ht="13.5" customHeight="1" x14ac:dyDescent="0.25">
      <c r="A176" s="1" t="s">
        <v>436</v>
      </c>
      <c r="B176" s="2" t="s">
        <v>26</v>
      </c>
      <c r="C176" s="2" t="s">
        <v>281</v>
      </c>
      <c r="D176" s="95" t="s">
        <v>437</v>
      </c>
      <c r="E176" s="88"/>
      <c r="F176" s="2" t="s">
        <v>283</v>
      </c>
      <c r="G176" s="13">
        <v>6</v>
      </c>
      <c r="H176" s="78">
        <v>0</v>
      </c>
      <c r="I176" s="13">
        <f>G176*H176</f>
        <v>0</v>
      </c>
      <c r="K176" s="34"/>
      <c r="Z176" s="13">
        <f>IF(AQ176="5",BJ176,0)</f>
        <v>0</v>
      </c>
      <c r="AB176" s="13">
        <f>IF(AQ176="1",BH176,0)</f>
        <v>0</v>
      </c>
      <c r="AC176" s="13">
        <f>IF(AQ176="1",BI176,0)</f>
        <v>0</v>
      </c>
      <c r="AD176" s="13">
        <f>IF(AQ176="7",BH176,0)</f>
        <v>0</v>
      </c>
      <c r="AE176" s="13">
        <f>IF(AQ176="7",BI176,0)</f>
        <v>0</v>
      </c>
      <c r="AF176" s="13">
        <f>IF(AQ176="2",BH176,0)</f>
        <v>0</v>
      </c>
      <c r="AG176" s="13">
        <f>IF(AQ176="2",BI176,0)</f>
        <v>0</v>
      </c>
      <c r="AH176" s="13">
        <f>IF(AQ176="0",BJ176,0)</f>
        <v>0</v>
      </c>
      <c r="AI176" s="30" t="s">
        <v>26</v>
      </c>
      <c r="AJ176" s="13">
        <f>IF(AN176=0,I176,0)</f>
        <v>0</v>
      </c>
      <c r="AK176" s="13">
        <f>IF(AN176=12,I176,0)</f>
        <v>0</v>
      </c>
      <c r="AL176" s="13">
        <f>IF(AN176=21,I176,0)</f>
        <v>0</v>
      </c>
      <c r="AN176" s="13">
        <v>21</v>
      </c>
      <c r="AO176" s="13">
        <f>H176*0</f>
        <v>0</v>
      </c>
      <c r="AP176" s="13">
        <f>H176*(1-0)</f>
        <v>0</v>
      </c>
      <c r="AQ176" s="79" t="s">
        <v>75</v>
      </c>
      <c r="AV176" s="13">
        <f>AW176+AX176</f>
        <v>0</v>
      </c>
      <c r="AW176" s="13">
        <f>G176*AO176</f>
        <v>0</v>
      </c>
      <c r="AX176" s="13">
        <f>G176*AP176</f>
        <v>0</v>
      </c>
      <c r="AY176" s="79" t="s">
        <v>843</v>
      </c>
      <c r="AZ176" s="79" t="s">
        <v>837</v>
      </c>
      <c r="BA176" s="30" t="s">
        <v>801</v>
      </c>
      <c r="BC176" s="13">
        <f>AW176+AX176</f>
        <v>0</v>
      </c>
      <c r="BD176" s="13">
        <f>H176/(100-BE176)*100</f>
        <v>0</v>
      </c>
      <c r="BE176" s="13">
        <v>0</v>
      </c>
      <c r="BF176" s="13">
        <f>176</f>
        <v>176</v>
      </c>
      <c r="BH176" s="13">
        <f>G176*AO176</f>
        <v>0</v>
      </c>
      <c r="BI176" s="13">
        <f>G176*AP176</f>
        <v>0</v>
      </c>
      <c r="BJ176" s="13">
        <f>G176*H176</f>
        <v>0</v>
      </c>
      <c r="BK176" s="13"/>
      <c r="BL176" s="13">
        <v>735</v>
      </c>
      <c r="BW176" s="13">
        <v>21</v>
      </c>
    </row>
    <row r="177" spans="1:75" ht="13.5" customHeight="1" x14ac:dyDescent="0.25">
      <c r="A177" s="32"/>
      <c r="C177" s="80" t="s">
        <v>802</v>
      </c>
      <c r="D177" s="113" t="s">
        <v>844</v>
      </c>
      <c r="E177" s="114"/>
      <c r="F177" s="114"/>
      <c r="G177" s="114"/>
      <c r="H177" s="184"/>
      <c r="I177" s="114"/>
      <c r="J177" s="114"/>
      <c r="K177" s="185"/>
    </row>
    <row r="178" spans="1:75" ht="13.5" customHeight="1" x14ac:dyDescent="0.25">
      <c r="A178" s="1" t="s">
        <v>438</v>
      </c>
      <c r="B178" s="2" t="s">
        <v>26</v>
      </c>
      <c r="C178" s="2" t="s">
        <v>281</v>
      </c>
      <c r="D178" s="95" t="s">
        <v>439</v>
      </c>
      <c r="E178" s="88"/>
      <c r="F178" s="2" t="s">
        <v>283</v>
      </c>
      <c r="G178" s="13">
        <v>24</v>
      </c>
      <c r="H178" s="78">
        <v>0</v>
      </c>
      <c r="I178" s="13">
        <f>G178*H178</f>
        <v>0</v>
      </c>
      <c r="K178" s="34"/>
      <c r="Z178" s="13">
        <f>IF(AQ178="5",BJ178,0)</f>
        <v>0</v>
      </c>
      <c r="AB178" s="13">
        <f>IF(AQ178="1",BH178,0)</f>
        <v>0</v>
      </c>
      <c r="AC178" s="13">
        <f>IF(AQ178="1",BI178,0)</f>
        <v>0</v>
      </c>
      <c r="AD178" s="13">
        <f>IF(AQ178="7",BH178,0)</f>
        <v>0</v>
      </c>
      <c r="AE178" s="13">
        <f>IF(AQ178="7",BI178,0)</f>
        <v>0</v>
      </c>
      <c r="AF178" s="13">
        <f>IF(AQ178="2",BH178,0)</f>
        <v>0</v>
      </c>
      <c r="AG178" s="13">
        <f>IF(AQ178="2",BI178,0)</f>
        <v>0</v>
      </c>
      <c r="AH178" s="13">
        <f>IF(AQ178="0",BJ178,0)</f>
        <v>0</v>
      </c>
      <c r="AI178" s="30" t="s">
        <v>26</v>
      </c>
      <c r="AJ178" s="13">
        <f>IF(AN178=0,I178,0)</f>
        <v>0</v>
      </c>
      <c r="AK178" s="13">
        <f>IF(AN178=12,I178,0)</f>
        <v>0</v>
      </c>
      <c r="AL178" s="13">
        <f>IF(AN178=21,I178,0)</f>
        <v>0</v>
      </c>
      <c r="AN178" s="13">
        <v>21</v>
      </c>
      <c r="AO178" s="13">
        <f>H178*0</f>
        <v>0</v>
      </c>
      <c r="AP178" s="13">
        <f>H178*(1-0)</f>
        <v>0</v>
      </c>
      <c r="AQ178" s="79" t="s">
        <v>75</v>
      </c>
      <c r="AV178" s="13">
        <f>AW178+AX178</f>
        <v>0</v>
      </c>
      <c r="AW178" s="13">
        <f>G178*AO178</f>
        <v>0</v>
      </c>
      <c r="AX178" s="13">
        <f>G178*AP178</f>
        <v>0</v>
      </c>
      <c r="AY178" s="79" t="s">
        <v>843</v>
      </c>
      <c r="AZ178" s="79" t="s">
        <v>837</v>
      </c>
      <c r="BA178" s="30" t="s">
        <v>801</v>
      </c>
      <c r="BC178" s="13">
        <f>AW178+AX178</f>
        <v>0</v>
      </c>
      <c r="BD178" s="13">
        <f>H178/(100-BE178)*100</f>
        <v>0</v>
      </c>
      <c r="BE178" s="13">
        <v>0</v>
      </c>
      <c r="BF178" s="13">
        <f>178</f>
        <v>178</v>
      </c>
      <c r="BH178" s="13">
        <f>G178*AO178</f>
        <v>0</v>
      </c>
      <c r="BI178" s="13">
        <f>G178*AP178</f>
        <v>0</v>
      </c>
      <c r="BJ178" s="13">
        <f>G178*H178</f>
        <v>0</v>
      </c>
      <c r="BK178" s="13"/>
      <c r="BL178" s="13">
        <v>735</v>
      </c>
      <c r="BW178" s="13">
        <v>21</v>
      </c>
    </row>
    <row r="179" spans="1:75" ht="13.5" customHeight="1" x14ac:dyDescent="0.25">
      <c r="A179" s="32"/>
      <c r="C179" s="80" t="s">
        <v>802</v>
      </c>
      <c r="D179" s="113" t="s">
        <v>845</v>
      </c>
      <c r="E179" s="114"/>
      <c r="F179" s="114"/>
      <c r="G179" s="114"/>
      <c r="H179" s="184"/>
      <c r="I179" s="114"/>
      <c r="J179" s="114"/>
      <c r="K179" s="185"/>
    </row>
    <row r="180" spans="1:75" ht="13.5" customHeight="1" x14ac:dyDescent="0.25">
      <c r="A180" s="1" t="s">
        <v>440</v>
      </c>
      <c r="B180" s="2" t="s">
        <v>26</v>
      </c>
      <c r="C180" s="2" t="s">
        <v>441</v>
      </c>
      <c r="D180" s="95" t="s">
        <v>442</v>
      </c>
      <c r="E180" s="88"/>
      <c r="F180" s="2" t="s">
        <v>231</v>
      </c>
      <c r="G180" s="13">
        <v>322.92</v>
      </c>
      <c r="H180" s="78">
        <v>0</v>
      </c>
      <c r="I180" s="13">
        <f>G180*H180</f>
        <v>0</v>
      </c>
      <c r="K180" s="34"/>
      <c r="Z180" s="13">
        <f>IF(AQ180="5",BJ180,0)</f>
        <v>0</v>
      </c>
      <c r="AB180" s="13">
        <f>IF(AQ180="1",BH180,0)</f>
        <v>0</v>
      </c>
      <c r="AC180" s="13">
        <f>IF(AQ180="1",BI180,0)</f>
        <v>0</v>
      </c>
      <c r="AD180" s="13">
        <f>IF(AQ180="7",BH180,0)</f>
        <v>0</v>
      </c>
      <c r="AE180" s="13">
        <f>IF(AQ180="7",BI180,0)</f>
        <v>0</v>
      </c>
      <c r="AF180" s="13">
        <f>IF(AQ180="2",BH180,0)</f>
        <v>0</v>
      </c>
      <c r="AG180" s="13">
        <f>IF(AQ180="2",BI180,0)</f>
        <v>0</v>
      </c>
      <c r="AH180" s="13">
        <f>IF(AQ180="0",BJ180,0)</f>
        <v>0</v>
      </c>
      <c r="AI180" s="30" t="s">
        <v>26</v>
      </c>
      <c r="AJ180" s="13">
        <f>IF(AN180=0,I180,0)</f>
        <v>0</v>
      </c>
      <c r="AK180" s="13">
        <f>IF(AN180=12,I180,0)</f>
        <v>0</v>
      </c>
      <c r="AL180" s="13">
        <f>IF(AN180=21,I180,0)</f>
        <v>0</v>
      </c>
      <c r="AN180" s="13">
        <v>21</v>
      </c>
      <c r="AO180" s="13">
        <f>H180*0</f>
        <v>0</v>
      </c>
      <c r="AP180" s="13">
        <f>H180*(1-0)</f>
        <v>0</v>
      </c>
      <c r="AQ180" s="79" t="s">
        <v>70</v>
      </c>
      <c r="AV180" s="13">
        <f>AW180+AX180</f>
        <v>0</v>
      </c>
      <c r="AW180" s="13">
        <f>G180*AO180</f>
        <v>0</v>
      </c>
      <c r="AX180" s="13">
        <f>G180*AP180</f>
        <v>0</v>
      </c>
      <c r="AY180" s="79" t="s">
        <v>843</v>
      </c>
      <c r="AZ180" s="79" t="s">
        <v>837</v>
      </c>
      <c r="BA180" s="30" t="s">
        <v>801</v>
      </c>
      <c r="BC180" s="13">
        <f>AW180+AX180</f>
        <v>0</v>
      </c>
      <c r="BD180" s="13">
        <f>H180/(100-BE180)*100</f>
        <v>0</v>
      </c>
      <c r="BE180" s="13">
        <v>0</v>
      </c>
      <c r="BF180" s="13">
        <f>180</f>
        <v>180</v>
      </c>
      <c r="BH180" s="13">
        <f>G180*AO180</f>
        <v>0</v>
      </c>
      <c r="BI180" s="13">
        <f>G180*AP180</f>
        <v>0</v>
      </c>
      <c r="BJ180" s="13">
        <f>G180*H180</f>
        <v>0</v>
      </c>
      <c r="BK180" s="13"/>
      <c r="BL180" s="13">
        <v>735</v>
      </c>
      <c r="BW180" s="13">
        <v>21</v>
      </c>
    </row>
    <row r="181" spans="1:75" x14ac:dyDescent="0.25">
      <c r="A181" s="75" t="s">
        <v>20</v>
      </c>
      <c r="B181" s="29" t="s">
        <v>26</v>
      </c>
      <c r="C181" s="29" t="s">
        <v>443</v>
      </c>
      <c r="D181" s="183" t="s">
        <v>444</v>
      </c>
      <c r="E181" s="112"/>
      <c r="F181" s="76" t="s">
        <v>13</v>
      </c>
      <c r="G181" s="76" t="s">
        <v>13</v>
      </c>
      <c r="H181" s="77" t="s">
        <v>13</v>
      </c>
      <c r="I181" s="61">
        <f>SUM(I182:I185)</f>
        <v>0</v>
      </c>
      <c r="K181" s="34"/>
      <c r="AI181" s="30" t="s">
        <v>26</v>
      </c>
      <c r="AS181" s="61">
        <f>SUM(AJ182:AJ185)</f>
        <v>0</v>
      </c>
      <c r="AT181" s="61">
        <f>SUM(AK182:AK185)</f>
        <v>0</v>
      </c>
      <c r="AU181" s="61">
        <f>SUM(AL182:AL185)</f>
        <v>0</v>
      </c>
    </row>
    <row r="182" spans="1:75" ht="13.5" customHeight="1" x14ac:dyDescent="0.25">
      <c r="A182" s="1" t="s">
        <v>445</v>
      </c>
      <c r="B182" s="2" t="s">
        <v>26</v>
      </c>
      <c r="C182" s="2" t="s">
        <v>446</v>
      </c>
      <c r="D182" s="95" t="s">
        <v>447</v>
      </c>
      <c r="E182" s="88"/>
      <c r="F182" s="2" t="s">
        <v>127</v>
      </c>
      <c r="G182" s="13">
        <v>3.94</v>
      </c>
      <c r="H182" s="78">
        <v>0</v>
      </c>
      <c r="I182" s="13">
        <f>G182*H182</f>
        <v>0</v>
      </c>
      <c r="K182" s="34"/>
      <c r="Z182" s="13">
        <f>IF(AQ182="5",BJ182,0)</f>
        <v>0</v>
      </c>
      <c r="AB182" s="13">
        <f>IF(AQ182="1",BH182,0)</f>
        <v>0</v>
      </c>
      <c r="AC182" s="13">
        <f>IF(AQ182="1",BI182,0)</f>
        <v>0</v>
      </c>
      <c r="AD182" s="13">
        <f>IF(AQ182="7",BH182,0)</f>
        <v>0</v>
      </c>
      <c r="AE182" s="13">
        <f>IF(AQ182="7",BI182,0)</f>
        <v>0</v>
      </c>
      <c r="AF182" s="13">
        <f>IF(AQ182="2",BH182,0)</f>
        <v>0</v>
      </c>
      <c r="AG182" s="13">
        <f>IF(AQ182="2",BI182,0)</f>
        <v>0</v>
      </c>
      <c r="AH182" s="13">
        <f>IF(AQ182="0",BJ182,0)</f>
        <v>0</v>
      </c>
      <c r="AI182" s="30" t="s">
        <v>26</v>
      </c>
      <c r="AJ182" s="13">
        <f>IF(AN182=0,I182,0)</f>
        <v>0</v>
      </c>
      <c r="AK182" s="13">
        <f>IF(AN182=12,I182,0)</f>
        <v>0</v>
      </c>
      <c r="AL182" s="13">
        <f>IF(AN182=21,I182,0)</f>
        <v>0</v>
      </c>
      <c r="AN182" s="13">
        <v>21</v>
      </c>
      <c r="AO182" s="13">
        <f>H182*0.725820625</f>
        <v>0</v>
      </c>
      <c r="AP182" s="13">
        <f>H182*(1-0.725820625)</f>
        <v>0</v>
      </c>
      <c r="AQ182" s="79" t="s">
        <v>75</v>
      </c>
      <c r="AV182" s="13">
        <f>AW182+AX182</f>
        <v>0</v>
      </c>
      <c r="AW182" s="13">
        <f>G182*AO182</f>
        <v>0</v>
      </c>
      <c r="AX182" s="13">
        <f>G182*AP182</f>
        <v>0</v>
      </c>
      <c r="AY182" s="79" t="s">
        <v>846</v>
      </c>
      <c r="AZ182" s="79" t="s">
        <v>847</v>
      </c>
      <c r="BA182" s="30" t="s">
        <v>801</v>
      </c>
      <c r="BC182" s="13">
        <f>AW182+AX182</f>
        <v>0</v>
      </c>
      <c r="BD182" s="13">
        <f>H182/(100-BE182)*100</f>
        <v>0</v>
      </c>
      <c r="BE182" s="13">
        <v>0</v>
      </c>
      <c r="BF182" s="13">
        <f>182</f>
        <v>182</v>
      </c>
      <c r="BH182" s="13">
        <f>G182*AO182</f>
        <v>0</v>
      </c>
      <c r="BI182" s="13">
        <f>G182*AP182</f>
        <v>0</v>
      </c>
      <c r="BJ182" s="13">
        <f>G182*H182</f>
        <v>0</v>
      </c>
      <c r="BK182" s="13"/>
      <c r="BL182" s="13">
        <v>764</v>
      </c>
      <c r="BW182" s="13">
        <v>21</v>
      </c>
    </row>
    <row r="183" spans="1:75" ht="13.5" customHeight="1" x14ac:dyDescent="0.25">
      <c r="A183" s="32"/>
      <c r="C183" s="80" t="s">
        <v>802</v>
      </c>
      <c r="D183" s="113" t="s">
        <v>848</v>
      </c>
      <c r="E183" s="114"/>
      <c r="F183" s="114"/>
      <c r="G183" s="114"/>
      <c r="H183" s="184"/>
      <c r="I183" s="114"/>
      <c r="J183" s="114"/>
      <c r="K183" s="185"/>
    </row>
    <row r="184" spans="1:75" ht="13.5" customHeight="1" x14ac:dyDescent="0.25">
      <c r="A184" s="1" t="s">
        <v>449</v>
      </c>
      <c r="B184" s="2" t="s">
        <v>26</v>
      </c>
      <c r="C184" s="2" t="s">
        <v>450</v>
      </c>
      <c r="D184" s="95" t="s">
        <v>451</v>
      </c>
      <c r="E184" s="88"/>
      <c r="F184" s="2" t="s">
        <v>127</v>
      </c>
      <c r="G184" s="13">
        <v>3.94</v>
      </c>
      <c r="H184" s="78">
        <v>0</v>
      </c>
      <c r="I184" s="13">
        <f>G184*H184</f>
        <v>0</v>
      </c>
      <c r="K184" s="34"/>
      <c r="Z184" s="13">
        <f>IF(AQ184="5",BJ184,0)</f>
        <v>0</v>
      </c>
      <c r="AB184" s="13">
        <f>IF(AQ184="1",BH184,0)</f>
        <v>0</v>
      </c>
      <c r="AC184" s="13">
        <f>IF(AQ184="1",BI184,0)</f>
        <v>0</v>
      </c>
      <c r="AD184" s="13">
        <f>IF(AQ184="7",BH184,0)</f>
        <v>0</v>
      </c>
      <c r="AE184" s="13">
        <f>IF(AQ184="7",BI184,0)</f>
        <v>0</v>
      </c>
      <c r="AF184" s="13">
        <f>IF(AQ184="2",BH184,0)</f>
        <v>0</v>
      </c>
      <c r="AG184" s="13">
        <f>IF(AQ184="2",BI184,0)</f>
        <v>0</v>
      </c>
      <c r="AH184" s="13">
        <f>IF(AQ184="0",BJ184,0)</f>
        <v>0</v>
      </c>
      <c r="AI184" s="30" t="s">
        <v>26</v>
      </c>
      <c r="AJ184" s="13">
        <f>IF(AN184=0,I184,0)</f>
        <v>0</v>
      </c>
      <c r="AK184" s="13">
        <f>IF(AN184=12,I184,0)</f>
        <v>0</v>
      </c>
      <c r="AL184" s="13">
        <f>IF(AN184=21,I184,0)</f>
        <v>0</v>
      </c>
      <c r="AN184" s="13">
        <v>21</v>
      </c>
      <c r="AO184" s="13">
        <f>H184*0</f>
        <v>0</v>
      </c>
      <c r="AP184" s="13">
        <f>H184*(1-0)</f>
        <v>0</v>
      </c>
      <c r="AQ184" s="79" t="s">
        <v>75</v>
      </c>
      <c r="AV184" s="13">
        <f>AW184+AX184</f>
        <v>0</v>
      </c>
      <c r="AW184" s="13">
        <f>G184*AO184</f>
        <v>0</v>
      </c>
      <c r="AX184" s="13">
        <f>G184*AP184</f>
        <v>0</v>
      </c>
      <c r="AY184" s="79" t="s">
        <v>846</v>
      </c>
      <c r="AZ184" s="79" t="s">
        <v>847</v>
      </c>
      <c r="BA184" s="30" t="s">
        <v>801</v>
      </c>
      <c r="BC184" s="13">
        <f>AW184+AX184</f>
        <v>0</v>
      </c>
      <c r="BD184" s="13">
        <f>H184/(100-BE184)*100</f>
        <v>0</v>
      </c>
      <c r="BE184" s="13">
        <v>0</v>
      </c>
      <c r="BF184" s="13">
        <f>184</f>
        <v>184</v>
      </c>
      <c r="BH184" s="13">
        <f>G184*AO184</f>
        <v>0</v>
      </c>
      <c r="BI184" s="13">
        <f>G184*AP184</f>
        <v>0</v>
      </c>
      <c r="BJ184" s="13">
        <f>G184*H184</f>
        <v>0</v>
      </c>
      <c r="BK184" s="13"/>
      <c r="BL184" s="13">
        <v>764</v>
      </c>
      <c r="BW184" s="13">
        <v>21</v>
      </c>
    </row>
    <row r="185" spans="1:75" ht="13.5" customHeight="1" x14ac:dyDescent="0.25">
      <c r="A185" s="1" t="s">
        <v>452</v>
      </c>
      <c r="B185" s="2" t="s">
        <v>26</v>
      </c>
      <c r="C185" s="2" t="s">
        <v>453</v>
      </c>
      <c r="D185" s="95" t="s">
        <v>454</v>
      </c>
      <c r="E185" s="88"/>
      <c r="F185" s="2" t="s">
        <v>231</v>
      </c>
      <c r="G185" s="13">
        <v>27.21</v>
      </c>
      <c r="H185" s="78">
        <v>0</v>
      </c>
      <c r="I185" s="13">
        <f>G185*H185</f>
        <v>0</v>
      </c>
      <c r="K185" s="34"/>
      <c r="Z185" s="13">
        <f>IF(AQ185="5",BJ185,0)</f>
        <v>0</v>
      </c>
      <c r="AB185" s="13">
        <f>IF(AQ185="1",BH185,0)</f>
        <v>0</v>
      </c>
      <c r="AC185" s="13">
        <f>IF(AQ185="1",BI185,0)</f>
        <v>0</v>
      </c>
      <c r="AD185" s="13">
        <f>IF(AQ185="7",BH185,0)</f>
        <v>0</v>
      </c>
      <c r="AE185" s="13">
        <f>IF(AQ185="7",BI185,0)</f>
        <v>0</v>
      </c>
      <c r="AF185" s="13">
        <f>IF(AQ185="2",BH185,0)</f>
        <v>0</v>
      </c>
      <c r="AG185" s="13">
        <f>IF(AQ185="2",BI185,0)</f>
        <v>0</v>
      </c>
      <c r="AH185" s="13">
        <f>IF(AQ185="0",BJ185,0)</f>
        <v>0</v>
      </c>
      <c r="AI185" s="30" t="s">
        <v>26</v>
      </c>
      <c r="AJ185" s="13">
        <f>IF(AN185=0,I185,0)</f>
        <v>0</v>
      </c>
      <c r="AK185" s="13">
        <f>IF(AN185=12,I185,0)</f>
        <v>0</v>
      </c>
      <c r="AL185" s="13">
        <f>IF(AN185=21,I185,0)</f>
        <v>0</v>
      </c>
      <c r="AN185" s="13">
        <v>21</v>
      </c>
      <c r="AO185" s="13">
        <f>H185*0</f>
        <v>0</v>
      </c>
      <c r="AP185" s="13">
        <f>H185*(1-0)</f>
        <v>0</v>
      </c>
      <c r="AQ185" s="79" t="s">
        <v>70</v>
      </c>
      <c r="AV185" s="13">
        <f>AW185+AX185</f>
        <v>0</v>
      </c>
      <c r="AW185" s="13">
        <f>G185*AO185</f>
        <v>0</v>
      </c>
      <c r="AX185" s="13">
        <f>G185*AP185</f>
        <v>0</v>
      </c>
      <c r="AY185" s="79" t="s">
        <v>846</v>
      </c>
      <c r="AZ185" s="79" t="s">
        <v>847</v>
      </c>
      <c r="BA185" s="30" t="s">
        <v>801</v>
      </c>
      <c r="BC185" s="13">
        <f>AW185+AX185</f>
        <v>0</v>
      </c>
      <c r="BD185" s="13">
        <f>H185/(100-BE185)*100</f>
        <v>0</v>
      </c>
      <c r="BE185" s="13">
        <v>0</v>
      </c>
      <c r="BF185" s="13">
        <f>185</f>
        <v>185</v>
      </c>
      <c r="BH185" s="13">
        <f>G185*AO185</f>
        <v>0</v>
      </c>
      <c r="BI185" s="13">
        <f>G185*AP185</f>
        <v>0</v>
      </c>
      <c r="BJ185" s="13">
        <f>G185*H185</f>
        <v>0</v>
      </c>
      <c r="BK185" s="13"/>
      <c r="BL185" s="13">
        <v>764</v>
      </c>
      <c r="BW185" s="13">
        <v>21</v>
      </c>
    </row>
    <row r="186" spans="1:75" x14ac:dyDescent="0.25">
      <c r="A186" s="75" t="s">
        <v>20</v>
      </c>
      <c r="B186" s="29" t="s">
        <v>26</v>
      </c>
      <c r="C186" s="29" t="s">
        <v>455</v>
      </c>
      <c r="D186" s="183" t="s">
        <v>456</v>
      </c>
      <c r="E186" s="112"/>
      <c r="F186" s="76" t="s">
        <v>13</v>
      </c>
      <c r="G186" s="76" t="s">
        <v>13</v>
      </c>
      <c r="H186" s="77" t="s">
        <v>13</v>
      </c>
      <c r="I186" s="61">
        <f>SUM(I187:I198)</f>
        <v>0</v>
      </c>
      <c r="K186" s="34"/>
      <c r="AI186" s="30" t="s">
        <v>26</v>
      </c>
      <c r="AS186" s="61">
        <f>SUM(AJ187:AJ198)</f>
        <v>0</v>
      </c>
      <c r="AT186" s="61">
        <f>SUM(AK187:AK198)</f>
        <v>0</v>
      </c>
      <c r="AU186" s="61">
        <f>SUM(AL187:AL198)</f>
        <v>0</v>
      </c>
    </row>
    <row r="187" spans="1:75" ht="13.5" customHeight="1" x14ac:dyDescent="0.25">
      <c r="A187" s="1" t="s">
        <v>457</v>
      </c>
      <c r="B187" s="2" t="s">
        <v>26</v>
      </c>
      <c r="C187" s="2" t="s">
        <v>458</v>
      </c>
      <c r="D187" s="95" t="s">
        <v>459</v>
      </c>
      <c r="E187" s="88"/>
      <c r="F187" s="2" t="s">
        <v>107</v>
      </c>
      <c r="G187" s="13">
        <v>4</v>
      </c>
      <c r="H187" s="78">
        <v>0</v>
      </c>
      <c r="I187" s="13">
        <f>G187*H187</f>
        <v>0</v>
      </c>
      <c r="K187" s="34"/>
      <c r="Z187" s="13">
        <f>IF(AQ187="5",BJ187,0)</f>
        <v>0</v>
      </c>
      <c r="AB187" s="13">
        <f>IF(AQ187="1",BH187,0)</f>
        <v>0</v>
      </c>
      <c r="AC187" s="13">
        <f>IF(AQ187="1",BI187,0)</f>
        <v>0</v>
      </c>
      <c r="AD187" s="13">
        <f>IF(AQ187="7",BH187,0)</f>
        <v>0</v>
      </c>
      <c r="AE187" s="13">
        <f>IF(AQ187="7",BI187,0)</f>
        <v>0</v>
      </c>
      <c r="AF187" s="13">
        <f>IF(AQ187="2",BH187,0)</f>
        <v>0</v>
      </c>
      <c r="AG187" s="13">
        <f>IF(AQ187="2",BI187,0)</f>
        <v>0</v>
      </c>
      <c r="AH187" s="13">
        <f>IF(AQ187="0",BJ187,0)</f>
        <v>0</v>
      </c>
      <c r="AI187" s="30" t="s">
        <v>26</v>
      </c>
      <c r="AJ187" s="13">
        <f>IF(AN187=0,I187,0)</f>
        <v>0</v>
      </c>
      <c r="AK187" s="13">
        <f>IF(AN187=12,I187,0)</f>
        <v>0</v>
      </c>
      <c r="AL187" s="13">
        <f>IF(AN187=21,I187,0)</f>
        <v>0</v>
      </c>
      <c r="AN187" s="13">
        <v>21</v>
      </c>
      <c r="AO187" s="13">
        <f>H187*0</f>
        <v>0</v>
      </c>
      <c r="AP187" s="13">
        <f>H187*(1-0)</f>
        <v>0</v>
      </c>
      <c r="AQ187" s="79" t="s">
        <v>75</v>
      </c>
      <c r="AV187" s="13">
        <f>AW187+AX187</f>
        <v>0</v>
      </c>
      <c r="AW187" s="13">
        <f>G187*AO187</f>
        <v>0</v>
      </c>
      <c r="AX187" s="13">
        <f>G187*AP187</f>
        <v>0</v>
      </c>
      <c r="AY187" s="79" t="s">
        <v>849</v>
      </c>
      <c r="AZ187" s="79" t="s">
        <v>847</v>
      </c>
      <c r="BA187" s="30" t="s">
        <v>801</v>
      </c>
      <c r="BC187" s="13">
        <f>AW187+AX187</f>
        <v>0</v>
      </c>
      <c r="BD187" s="13">
        <f>H187/(100-BE187)*100</f>
        <v>0</v>
      </c>
      <c r="BE187" s="13">
        <v>0</v>
      </c>
      <c r="BF187" s="13">
        <f>187</f>
        <v>187</v>
      </c>
      <c r="BH187" s="13">
        <f>G187*AO187</f>
        <v>0</v>
      </c>
      <c r="BI187" s="13">
        <f>G187*AP187</f>
        <v>0</v>
      </c>
      <c r="BJ187" s="13">
        <f>G187*H187</f>
        <v>0</v>
      </c>
      <c r="BK187" s="13"/>
      <c r="BL187" s="13">
        <v>766</v>
      </c>
      <c r="BW187" s="13">
        <v>21</v>
      </c>
    </row>
    <row r="188" spans="1:75" ht="13.5" customHeight="1" x14ac:dyDescent="0.25">
      <c r="A188" s="1" t="s">
        <v>460</v>
      </c>
      <c r="B188" s="2" t="s">
        <v>26</v>
      </c>
      <c r="C188" s="2" t="s">
        <v>461</v>
      </c>
      <c r="D188" s="95" t="s">
        <v>462</v>
      </c>
      <c r="E188" s="88"/>
      <c r="F188" s="2" t="s">
        <v>107</v>
      </c>
      <c r="G188" s="13">
        <v>2</v>
      </c>
      <c r="H188" s="78">
        <v>0</v>
      </c>
      <c r="I188" s="13">
        <f>G188*H188</f>
        <v>0</v>
      </c>
      <c r="K188" s="34"/>
      <c r="Z188" s="13">
        <f>IF(AQ188="5",BJ188,0)</f>
        <v>0</v>
      </c>
      <c r="AB188" s="13">
        <f>IF(AQ188="1",BH188,0)</f>
        <v>0</v>
      </c>
      <c r="AC188" s="13">
        <f>IF(AQ188="1",BI188,0)</f>
        <v>0</v>
      </c>
      <c r="AD188" s="13">
        <f>IF(AQ188="7",BH188,0)</f>
        <v>0</v>
      </c>
      <c r="AE188" s="13">
        <f>IF(AQ188="7",BI188,0)</f>
        <v>0</v>
      </c>
      <c r="AF188" s="13">
        <f>IF(AQ188="2",BH188,0)</f>
        <v>0</v>
      </c>
      <c r="AG188" s="13">
        <f>IF(AQ188="2",BI188,0)</f>
        <v>0</v>
      </c>
      <c r="AH188" s="13">
        <f>IF(AQ188="0",BJ188,0)</f>
        <v>0</v>
      </c>
      <c r="AI188" s="30" t="s">
        <v>26</v>
      </c>
      <c r="AJ188" s="13">
        <f>IF(AN188=0,I188,0)</f>
        <v>0</v>
      </c>
      <c r="AK188" s="13">
        <f>IF(AN188=12,I188,0)</f>
        <v>0</v>
      </c>
      <c r="AL188" s="13">
        <f>IF(AN188=21,I188,0)</f>
        <v>0</v>
      </c>
      <c r="AN188" s="13">
        <v>21</v>
      </c>
      <c r="AO188" s="13">
        <f>H188*1</f>
        <v>0</v>
      </c>
      <c r="AP188" s="13">
        <f>H188*(1-1)</f>
        <v>0</v>
      </c>
      <c r="AQ188" s="79" t="s">
        <v>75</v>
      </c>
      <c r="AV188" s="13">
        <f>AW188+AX188</f>
        <v>0</v>
      </c>
      <c r="AW188" s="13">
        <f>G188*AO188</f>
        <v>0</v>
      </c>
      <c r="AX188" s="13">
        <f>G188*AP188</f>
        <v>0</v>
      </c>
      <c r="AY188" s="79" t="s">
        <v>849</v>
      </c>
      <c r="AZ188" s="79" t="s">
        <v>847</v>
      </c>
      <c r="BA188" s="30" t="s">
        <v>801</v>
      </c>
      <c r="BC188" s="13">
        <f>AW188+AX188</f>
        <v>0</v>
      </c>
      <c r="BD188" s="13">
        <f>H188/(100-BE188)*100</f>
        <v>0</v>
      </c>
      <c r="BE188" s="13">
        <v>0</v>
      </c>
      <c r="BF188" s="13">
        <f>188</f>
        <v>188</v>
      </c>
      <c r="BH188" s="13">
        <f>G188*AO188</f>
        <v>0</v>
      </c>
      <c r="BI188" s="13">
        <f>G188*AP188</f>
        <v>0</v>
      </c>
      <c r="BJ188" s="13">
        <f>G188*H188</f>
        <v>0</v>
      </c>
      <c r="BK188" s="13"/>
      <c r="BL188" s="13">
        <v>766</v>
      </c>
      <c r="BW188" s="13">
        <v>21</v>
      </c>
    </row>
    <row r="189" spans="1:75" ht="13.5" customHeight="1" x14ac:dyDescent="0.25">
      <c r="A189" s="1" t="s">
        <v>463</v>
      </c>
      <c r="B189" s="2" t="s">
        <v>26</v>
      </c>
      <c r="C189" s="2" t="s">
        <v>464</v>
      </c>
      <c r="D189" s="95" t="s">
        <v>465</v>
      </c>
      <c r="E189" s="88"/>
      <c r="F189" s="2" t="s">
        <v>107</v>
      </c>
      <c r="G189" s="13">
        <v>2</v>
      </c>
      <c r="H189" s="78">
        <v>0</v>
      </c>
      <c r="I189" s="13">
        <f>G189*H189</f>
        <v>0</v>
      </c>
      <c r="K189" s="34"/>
      <c r="Z189" s="13">
        <f>IF(AQ189="5",BJ189,0)</f>
        <v>0</v>
      </c>
      <c r="AB189" s="13">
        <f>IF(AQ189="1",BH189,0)</f>
        <v>0</v>
      </c>
      <c r="AC189" s="13">
        <f>IF(AQ189="1",BI189,0)</f>
        <v>0</v>
      </c>
      <c r="AD189" s="13">
        <f>IF(AQ189="7",BH189,0)</f>
        <v>0</v>
      </c>
      <c r="AE189" s="13">
        <f>IF(AQ189="7",BI189,0)</f>
        <v>0</v>
      </c>
      <c r="AF189" s="13">
        <f>IF(AQ189="2",BH189,0)</f>
        <v>0</v>
      </c>
      <c r="AG189" s="13">
        <f>IF(AQ189="2",BI189,0)</f>
        <v>0</v>
      </c>
      <c r="AH189" s="13">
        <f>IF(AQ189="0",BJ189,0)</f>
        <v>0</v>
      </c>
      <c r="AI189" s="30" t="s">
        <v>26</v>
      </c>
      <c r="AJ189" s="13">
        <f>IF(AN189=0,I189,0)</f>
        <v>0</v>
      </c>
      <c r="AK189" s="13">
        <f>IF(AN189=12,I189,0)</f>
        <v>0</v>
      </c>
      <c r="AL189" s="13">
        <f>IF(AN189=21,I189,0)</f>
        <v>0</v>
      </c>
      <c r="AN189" s="13">
        <v>21</v>
      </c>
      <c r="AO189" s="13">
        <f>H189*1</f>
        <v>0</v>
      </c>
      <c r="AP189" s="13">
        <f>H189*(1-1)</f>
        <v>0</v>
      </c>
      <c r="AQ189" s="79" t="s">
        <v>75</v>
      </c>
      <c r="AV189" s="13">
        <f>AW189+AX189</f>
        <v>0</v>
      </c>
      <c r="AW189" s="13">
        <f>G189*AO189</f>
        <v>0</v>
      </c>
      <c r="AX189" s="13">
        <f>G189*AP189</f>
        <v>0</v>
      </c>
      <c r="AY189" s="79" t="s">
        <v>849</v>
      </c>
      <c r="AZ189" s="79" t="s">
        <v>847</v>
      </c>
      <c r="BA189" s="30" t="s">
        <v>801</v>
      </c>
      <c r="BC189" s="13">
        <f>AW189+AX189</f>
        <v>0</v>
      </c>
      <c r="BD189" s="13">
        <f>H189/(100-BE189)*100</f>
        <v>0</v>
      </c>
      <c r="BE189" s="13">
        <v>0</v>
      </c>
      <c r="BF189" s="13">
        <f>189</f>
        <v>189</v>
      </c>
      <c r="BH189" s="13">
        <f>G189*AO189</f>
        <v>0</v>
      </c>
      <c r="BI189" s="13">
        <f>G189*AP189</f>
        <v>0</v>
      </c>
      <c r="BJ189" s="13">
        <f>G189*H189</f>
        <v>0</v>
      </c>
      <c r="BK189" s="13"/>
      <c r="BL189" s="13">
        <v>766</v>
      </c>
      <c r="BW189" s="13">
        <v>21</v>
      </c>
    </row>
    <row r="190" spans="1:75" ht="13.5" customHeight="1" x14ac:dyDescent="0.25">
      <c r="A190" s="1" t="s">
        <v>466</v>
      </c>
      <c r="B190" s="2" t="s">
        <v>26</v>
      </c>
      <c r="C190" s="2" t="s">
        <v>467</v>
      </c>
      <c r="D190" s="95" t="s">
        <v>468</v>
      </c>
      <c r="E190" s="88"/>
      <c r="F190" s="2" t="s">
        <v>61</v>
      </c>
      <c r="G190" s="13">
        <v>1</v>
      </c>
      <c r="H190" s="78">
        <v>0</v>
      </c>
      <c r="I190" s="13">
        <f>G190*H190</f>
        <v>0</v>
      </c>
      <c r="K190" s="34"/>
      <c r="Z190" s="13">
        <f>IF(AQ190="5",BJ190,0)</f>
        <v>0</v>
      </c>
      <c r="AB190" s="13">
        <f>IF(AQ190="1",BH190,0)</f>
        <v>0</v>
      </c>
      <c r="AC190" s="13">
        <f>IF(AQ190="1",BI190,0)</f>
        <v>0</v>
      </c>
      <c r="AD190" s="13">
        <f>IF(AQ190="7",BH190,0)</f>
        <v>0</v>
      </c>
      <c r="AE190" s="13">
        <f>IF(AQ190="7",BI190,0)</f>
        <v>0</v>
      </c>
      <c r="AF190" s="13">
        <f>IF(AQ190="2",BH190,0)</f>
        <v>0</v>
      </c>
      <c r="AG190" s="13">
        <f>IF(AQ190="2",BI190,0)</f>
        <v>0</v>
      </c>
      <c r="AH190" s="13">
        <f>IF(AQ190="0",BJ190,0)</f>
        <v>0</v>
      </c>
      <c r="AI190" s="30" t="s">
        <v>26</v>
      </c>
      <c r="AJ190" s="13">
        <f>IF(AN190=0,I190,0)</f>
        <v>0</v>
      </c>
      <c r="AK190" s="13">
        <f>IF(AN190=12,I190,0)</f>
        <v>0</v>
      </c>
      <c r="AL190" s="13">
        <f>IF(AN190=21,I190,0)</f>
        <v>0</v>
      </c>
      <c r="AN190" s="13">
        <v>21</v>
      </c>
      <c r="AO190" s="13">
        <f>H190*0</f>
        <v>0</v>
      </c>
      <c r="AP190" s="13">
        <f>H190*(1-0)</f>
        <v>0</v>
      </c>
      <c r="AQ190" s="79" t="s">
        <v>75</v>
      </c>
      <c r="AV190" s="13">
        <f>AW190+AX190</f>
        <v>0</v>
      </c>
      <c r="AW190" s="13">
        <f>G190*AO190</f>
        <v>0</v>
      </c>
      <c r="AX190" s="13">
        <f>G190*AP190</f>
        <v>0</v>
      </c>
      <c r="AY190" s="79" t="s">
        <v>849</v>
      </c>
      <c r="AZ190" s="79" t="s">
        <v>847</v>
      </c>
      <c r="BA190" s="30" t="s">
        <v>801</v>
      </c>
      <c r="BC190" s="13">
        <f>AW190+AX190</f>
        <v>0</v>
      </c>
      <c r="BD190" s="13">
        <f>H190/(100-BE190)*100</f>
        <v>0</v>
      </c>
      <c r="BE190" s="13">
        <v>0</v>
      </c>
      <c r="BF190" s="13">
        <f>190</f>
        <v>190</v>
      </c>
      <c r="BH190" s="13">
        <f>G190*AO190</f>
        <v>0</v>
      </c>
      <c r="BI190" s="13">
        <f>G190*AP190</f>
        <v>0</v>
      </c>
      <c r="BJ190" s="13">
        <f>G190*H190</f>
        <v>0</v>
      </c>
      <c r="BK190" s="13"/>
      <c r="BL190" s="13">
        <v>766</v>
      </c>
      <c r="BW190" s="13">
        <v>21</v>
      </c>
    </row>
    <row r="191" spans="1:75" ht="13.5" customHeight="1" x14ac:dyDescent="0.25">
      <c r="A191" s="32"/>
      <c r="C191" s="80" t="s">
        <v>49</v>
      </c>
      <c r="D191" s="113" t="s">
        <v>175</v>
      </c>
      <c r="E191" s="114"/>
      <c r="F191" s="114"/>
      <c r="G191" s="114"/>
      <c r="H191" s="184"/>
      <c r="I191" s="114"/>
      <c r="J191" s="114"/>
      <c r="K191" s="185"/>
    </row>
    <row r="192" spans="1:75" ht="13.5" customHeight="1" x14ac:dyDescent="0.25">
      <c r="A192" s="1" t="s">
        <v>469</v>
      </c>
      <c r="B192" s="2" t="s">
        <v>26</v>
      </c>
      <c r="C192" s="2" t="s">
        <v>470</v>
      </c>
      <c r="D192" s="95" t="s">
        <v>471</v>
      </c>
      <c r="E192" s="88"/>
      <c r="F192" s="2" t="s">
        <v>61</v>
      </c>
      <c r="G192" s="13">
        <v>2</v>
      </c>
      <c r="H192" s="78">
        <v>0</v>
      </c>
      <c r="I192" s="13">
        <f>G192*H192</f>
        <v>0</v>
      </c>
      <c r="K192" s="34"/>
      <c r="Z192" s="13">
        <f>IF(AQ192="5",BJ192,0)</f>
        <v>0</v>
      </c>
      <c r="AB192" s="13">
        <f>IF(AQ192="1",BH192,0)</f>
        <v>0</v>
      </c>
      <c r="AC192" s="13">
        <f>IF(AQ192="1",BI192,0)</f>
        <v>0</v>
      </c>
      <c r="AD192" s="13">
        <f>IF(AQ192="7",BH192,0)</f>
        <v>0</v>
      </c>
      <c r="AE192" s="13">
        <f>IF(AQ192="7",BI192,0)</f>
        <v>0</v>
      </c>
      <c r="AF192" s="13">
        <f>IF(AQ192="2",BH192,0)</f>
        <v>0</v>
      </c>
      <c r="AG192" s="13">
        <f>IF(AQ192="2",BI192,0)</f>
        <v>0</v>
      </c>
      <c r="AH192" s="13">
        <f>IF(AQ192="0",BJ192,0)</f>
        <v>0</v>
      </c>
      <c r="AI192" s="30" t="s">
        <v>26</v>
      </c>
      <c r="AJ192" s="13">
        <f>IF(AN192=0,I192,0)</f>
        <v>0</v>
      </c>
      <c r="AK192" s="13">
        <f>IF(AN192=12,I192,0)</f>
        <v>0</v>
      </c>
      <c r="AL192" s="13">
        <f>IF(AN192=21,I192,0)</f>
        <v>0</v>
      </c>
      <c r="AN192" s="13">
        <v>21</v>
      </c>
      <c r="AO192" s="13">
        <f>H192*0</f>
        <v>0</v>
      </c>
      <c r="AP192" s="13">
        <f>H192*(1-0)</f>
        <v>0</v>
      </c>
      <c r="AQ192" s="79" t="s">
        <v>75</v>
      </c>
      <c r="AV192" s="13">
        <f>AW192+AX192</f>
        <v>0</v>
      </c>
      <c r="AW192" s="13">
        <f>G192*AO192</f>
        <v>0</v>
      </c>
      <c r="AX192" s="13">
        <f>G192*AP192</f>
        <v>0</v>
      </c>
      <c r="AY192" s="79" t="s">
        <v>849</v>
      </c>
      <c r="AZ192" s="79" t="s">
        <v>847</v>
      </c>
      <c r="BA192" s="30" t="s">
        <v>801</v>
      </c>
      <c r="BC192" s="13">
        <f>AW192+AX192</f>
        <v>0</v>
      </c>
      <c r="BD192" s="13">
        <f>H192/(100-BE192)*100</f>
        <v>0</v>
      </c>
      <c r="BE192" s="13">
        <v>0</v>
      </c>
      <c r="BF192" s="13">
        <f>192</f>
        <v>192</v>
      </c>
      <c r="BH192" s="13">
        <f>G192*AO192</f>
        <v>0</v>
      </c>
      <c r="BI192" s="13">
        <f>G192*AP192</f>
        <v>0</v>
      </c>
      <c r="BJ192" s="13">
        <f>G192*H192</f>
        <v>0</v>
      </c>
      <c r="BK192" s="13"/>
      <c r="BL192" s="13">
        <v>766</v>
      </c>
      <c r="BW192" s="13">
        <v>21</v>
      </c>
    </row>
    <row r="193" spans="1:75" ht="13.5" customHeight="1" x14ac:dyDescent="0.25">
      <c r="A193" s="32"/>
      <c r="C193" s="80" t="s">
        <v>49</v>
      </c>
      <c r="D193" s="113" t="s">
        <v>175</v>
      </c>
      <c r="E193" s="114"/>
      <c r="F193" s="114"/>
      <c r="G193" s="114"/>
      <c r="H193" s="184"/>
      <c r="I193" s="114"/>
      <c r="J193" s="114"/>
      <c r="K193" s="185"/>
    </row>
    <row r="194" spans="1:75" ht="13.5" customHeight="1" x14ac:dyDescent="0.25">
      <c r="A194" s="1" t="s">
        <v>472</v>
      </c>
      <c r="B194" s="2" t="s">
        <v>26</v>
      </c>
      <c r="C194" s="2" t="s">
        <v>473</v>
      </c>
      <c r="D194" s="95" t="s">
        <v>474</v>
      </c>
      <c r="E194" s="88"/>
      <c r="F194" s="2" t="s">
        <v>61</v>
      </c>
      <c r="G194" s="13">
        <v>1</v>
      </c>
      <c r="H194" s="78">
        <v>0</v>
      </c>
      <c r="I194" s="13">
        <f>G194*H194</f>
        <v>0</v>
      </c>
      <c r="K194" s="34"/>
      <c r="Z194" s="13">
        <f>IF(AQ194="5",BJ194,0)</f>
        <v>0</v>
      </c>
      <c r="AB194" s="13">
        <f>IF(AQ194="1",BH194,0)</f>
        <v>0</v>
      </c>
      <c r="AC194" s="13">
        <f>IF(AQ194="1",BI194,0)</f>
        <v>0</v>
      </c>
      <c r="AD194" s="13">
        <f>IF(AQ194="7",BH194,0)</f>
        <v>0</v>
      </c>
      <c r="AE194" s="13">
        <f>IF(AQ194="7",BI194,0)</f>
        <v>0</v>
      </c>
      <c r="AF194" s="13">
        <f>IF(AQ194="2",BH194,0)</f>
        <v>0</v>
      </c>
      <c r="AG194" s="13">
        <f>IF(AQ194="2",BI194,0)</f>
        <v>0</v>
      </c>
      <c r="AH194" s="13">
        <f>IF(AQ194="0",BJ194,0)</f>
        <v>0</v>
      </c>
      <c r="AI194" s="30" t="s">
        <v>26</v>
      </c>
      <c r="AJ194" s="13">
        <f>IF(AN194=0,I194,0)</f>
        <v>0</v>
      </c>
      <c r="AK194" s="13">
        <f>IF(AN194=12,I194,0)</f>
        <v>0</v>
      </c>
      <c r="AL194" s="13">
        <f>IF(AN194=21,I194,0)</f>
        <v>0</v>
      </c>
      <c r="AN194" s="13">
        <v>21</v>
      </c>
      <c r="AO194" s="13">
        <f>H194*0</f>
        <v>0</v>
      </c>
      <c r="AP194" s="13">
        <f>H194*(1-0)</f>
        <v>0</v>
      </c>
      <c r="AQ194" s="79" t="s">
        <v>75</v>
      </c>
      <c r="AV194" s="13">
        <f>AW194+AX194</f>
        <v>0</v>
      </c>
      <c r="AW194" s="13">
        <f>G194*AO194</f>
        <v>0</v>
      </c>
      <c r="AX194" s="13">
        <f>G194*AP194</f>
        <v>0</v>
      </c>
      <c r="AY194" s="79" t="s">
        <v>849</v>
      </c>
      <c r="AZ194" s="79" t="s">
        <v>847</v>
      </c>
      <c r="BA194" s="30" t="s">
        <v>801</v>
      </c>
      <c r="BC194" s="13">
        <f>AW194+AX194</f>
        <v>0</v>
      </c>
      <c r="BD194" s="13">
        <f>H194/(100-BE194)*100</f>
        <v>0</v>
      </c>
      <c r="BE194" s="13">
        <v>0</v>
      </c>
      <c r="BF194" s="13">
        <f>194</f>
        <v>194</v>
      </c>
      <c r="BH194" s="13">
        <f>G194*AO194</f>
        <v>0</v>
      </c>
      <c r="BI194" s="13">
        <f>G194*AP194</f>
        <v>0</v>
      </c>
      <c r="BJ194" s="13">
        <f>G194*H194</f>
        <v>0</v>
      </c>
      <c r="BK194" s="13"/>
      <c r="BL194" s="13">
        <v>766</v>
      </c>
      <c r="BW194" s="13">
        <v>21</v>
      </c>
    </row>
    <row r="195" spans="1:75" ht="13.5" customHeight="1" x14ac:dyDescent="0.25">
      <c r="A195" s="32"/>
      <c r="C195" s="80" t="s">
        <v>49</v>
      </c>
      <c r="D195" s="113" t="s">
        <v>175</v>
      </c>
      <c r="E195" s="114"/>
      <c r="F195" s="114"/>
      <c r="G195" s="114"/>
      <c r="H195" s="184"/>
      <c r="I195" s="114"/>
      <c r="J195" s="114"/>
      <c r="K195" s="185"/>
    </row>
    <row r="196" spans="1:75" ht="13.5" customHeight="1" x14ac:dyDescent="0.25">
      <c r="A196" s="1" t="s">
        <v>475</v>
      </c>
      <c r="B196" s="2" t="s">
        <v>26</v>
      </c>
      <c r="C196" s="2" t="s">
        <v>476</v>
      </c>
      <c r="D196" s="95" t="s">
        <v>477</v>
      </c>
      <c r="E196" s="88"/>
      <c r="F196" s="2" t="s">
        <v>61</v>
      </c>
      <c r="G196" s="13">
        <v>1</v>
      </c>
      <c r="H196" s="78">
        <v>0</v>
      </c>
      <c r="I196" s="13">
        <f>G196*H196</f>
        <v>0</v>
      </c>
      <c r="K196" s="34"/>
      <c r="Z196" s="13">
        <f>IF(AQ196="5",BJ196,0)</f>
        <v>0</v>
      </c>
      <c r="AB196" s="13">
        <f>IF(AQ196="1",BH196,0)</f>
        <v>0</v>
      </c>
      <c r="AC196" s="13">
        <f>IF(AQ196="1",BI196,0)</f>
        <v>0</v>
      </c>
      <c r="AD196" s="13">
        <f>IF(AQ196="7",BH196,0)</f>
        <v>0</v>
      </c>
      <c r="AE196" s="13">
        <f>IF(AQ196="7",BI196,0)</f>
        <v>0</v>
      </c>
      <c r="AF196" s="13">
        <f>IF(AQ196="2",BH196,0)</f>
        <v>0</v>
      </c>
      <c r="AG196" s="13">
        <f>IF(AQ196="2",BI196,0)</f>
        <v>0</v>
      </c>
      <c r="AH196" s="13">
        <f>IF(AQ196="0",BJ196,0)</f>
        <v>0</v>
      </c>
      <c r="AI196" s="30" t="s">
        <v>26</v>
      </c>
      <c r="AJ196" s="13">
        <f>IF(AN196=0,I196,0)</f>
        <v>0</v>
      </c>
      <c r="AK196" s="13">
        <f>IF(AN196=12,I196,0)</f>
        <v>0</v>
      </c>
      <c r="AL196" s="13">
        <f>IF(AN196=21,I196,0)</f>
        <v>0</v>
      </c>
      <c r="AN196" s="13">
        <v>21</v>
      </c>
      <c r="AO196" s="13">
        <f>H196*0</f>
        <v>0</v>
      </c>
      <c r="AP196" s="13">
        <f>H196*(1-0)</f>
        <v>0</v>
      </c>
      <c r="AQ196" s="79" t="s">
        <v>75</v>
      </c>
      <c r="AV196" s="13">
        <f>AW196+AX196</f>
        <v>0</v>
      </c>
      <c r="AW196" s="13">
        <f>G196*AO196</f>
        <v>0</v>
      </c>
      <c r="AX196" s="13">
        <f>G196*AP196</f>
        <v>0</v>
      </c>
      <c r="AY196" s="79" t="s">
        <v>849</v>
      </c>
      <c r="AZ196" s="79" t="s">
        <v>847</v>
      </c>
      <c r="BA196" s="30" t="s">
        <v>801</v>
      </c>
      <c r="BC196" s="13">
        <f>AW196+AX196</f>
        <v>0</v>
      </c>
      <c r="BD196" s="13">
        <f>H196/(100-BE196)*100</f>
        <v>0</v>
      </c>
      <c r="BE196" s="13">
        <v>0</v>
      </c>
      <c r="BF196" s="13">
        <f>196</f>
        <v>196</v>
      </c>
      <c r="BH196" s="13">
        <f>G196*AO196</f>
        <v>0</v>
      </c>
      <c r="BI196" s="13">
        <f>G196*AP196</f>
        <v>0</v>
      </c>
      <c r="BJ196" s="13">
        <f>G196*H196</f>
        <v>0</v>
      </c>
      <c r="BK196" s="13"/>
      <c r="BL196" s="13">
        <v>766</v>
      </c>
      <c r="BW196" s="13">
        <v>21</v>
      </c>
    </row>
    <row r="197" spans="1:75" ht="13.5" customHeight="1" x14ac:dyDescent="0.25">
      <c r="A197" s="32"/>
      <c r="C197" s="80" t="s">
        <v>49</v>
      </c>
      <c r="D197" s="113" t="s">
        <v>175</v>
      </c>
      <c r="E197" s="114"/>
      <c r="F197" s="114"/>
      <c r="G197" s="114"/>
      <c r="H197" s="184"/>
      <c r="I197" s="114"/>
      <c r="J197" s="114"/>
      <c r="K197" s="185"/>
    </row>
    <row r="198" spans="1:75" ht="13.5" customHeight="1" x14ac:dyDescent="0.25">
      <c r="A198" s="1" t="s">
        <v>478</v>
      </c>
      <c r="B198" s="2" t="s">
        <v>26</v>
      </c>
      <c r="C198" s="2" t="s">
        <v>479</v>
      </c>
      <c r="D198" s="95" t="s">
        <v>480</v>
      </c>
      <c r="E198" s="88"/>
      <c r="F198" s="2" t="s">
        <v>231</v>
      </c>
      <c r="G198" s="13">
        <v>888.47</v>
      </c>
      <c r="H198" s="78">
        <v>0</v>
      </c>
      <c r="I198" s="13">
        <f>G198*H198</f>
        <v>0</v>
      </c>
      <c r="K198" s="34"/>
      <c r="Z198" s="13">
        <f>IF(AQ198="5",BJ198,0)</f>
        <v>0</v>
      </c>
      <c r="AB198" s="13">
        <f>IF(AQ198="1",BH198,0)</f>
        <v>0</v>
      </c>
      <c r="AC198" s="13">
        <f>IF(AQ198="1",BI198,0)</f>
        <v>0</v>
      </c>
      <c r="AD198" s="13">
        <f>IF(AQ198="7",BH198,0)</f>
        <v>0</v>
      </c>
      <c r="AE198" s="13">
        <f>IF(AQ198="7",BI198,0)</f>
        <v>0</v>
      </c>
      <c r="AF198" s="13">
        <f>IF(AQ198="2",BH198,0)</f>
        <v>0</v>
      </c>
      <c r="AG198" s="13">
        <f>IF(AQ198="2",BI198,0)</f>
        <v>0</v>
      </c>
      <c r="AH198" s="13">
        <f>IF(AQ198="0",BJ198,0)</f>
        <v>0</v>
      </c>
      <c r="AI198" s="30" t="s">
        <v>26</v>
      </c>
      <c r="AJ198" s="13">
        <f>IF(AN198=0,I198,0)</f>
        <v>0</v>
      </c>
      <c r="AK198" s="13">
        <f>IF(AN198=12,I198,0)</f>
        <v>0</v>
      </c>
      <c r="AL198" s="13">
        <f>IF(AN198=21,I198,0)</f>
        <v>0</v>
      </c>
      <c r="AN198" s="13">
        <v>21</v>
      </c>
      <c r="AO198" s="13">
        <f>H198*0</f>
        <v>0</v>
      </c>
      <c r="AP198" s="13">
        <f>H198*(1-0)</f>
        <v>0</v>
      </c>
      <c r="AQ198" s="79" t="s">
        <v>70</v>
      </c>
      <c r="AV198" s="13">
        <f>AW198+AX198</f>
        <v>0</v>
      </c>
      <c r="AW198" s="13">
        <f>G198*AO198</f>
        <v>0</v>
      </c>
      <c r="AX198" s="13">
        <f>G198*AP198</f>
        <v>0</v>
      </c>
      <c r="AY198" s="79" t="s">
        <v>849</v>
      </c>
      <c r="AZ198" s="79" t="s">
        <v>847</v>
      </c>
      <c r="BA198" s="30" t="s">
        <v>801</v>
      </c>
      <c r="BC198" s="13">
        <f>AW198+AX198</f>
        <v>0</v>
      </c>
      <c r="BD198" s="13">
        <f>H198/(100-BE198)*100</f>
        <v>0</v>
      </c>
      <c r="BE198" s="13">
        <v>0</v>
      </c>
      <c r="BF198" s="13">
        <f>198</f>
        <v>198</v>
      </c>
      <c r="BH198" s="13">
        <f>G198*AO198</f>
        <v>0</v>
      </c>
      <c r="BI198" s="13">
        <f>G198*AP198</f>
        <v>0</v>
      </c>
      <c r="BJ198" s="13">
        <f>G198*H198</f>
        <v>0</v>
      </c>
      <c r="BK198" s="13"/>
      <c r="BL198" s="13">
        <v>766</v>
      </c>
      <c r="BW198" s="13">
        <v>21</v>
      </c>
    </row>
    <row r="199" spans="1:75" x14ac:dyDescent="0.25">
      <c r="A199" s="75" t="s">
        <v>20</v>
      </c>
      <c r="B199" s="29" t="s">
        <v>26</v>
      </c>
      <c r="C199" s="29" t="s">
        <v>481</v>
      </c>
      <c r="D199" s="183" t="s">
        <v>482</v>
      </c>
      <c r="E199" s="112"/>
      <c r="F199" s="76" t="s">
        <v>13</v>
      </c>
      <c r="G199" s="76" t="s">
        <v>13</v>
      </c>
      <c r="H199" s="77" t="s">
        <v>13</v>
      </c>
      <c r="I199" s="61">
        <f>SUM(I200:I208)</f>
        <v>0</v>
      </c>
      <c r="K199" s="34"/>
      <c r="AI199" s="30" t="s">
        <v>26</v>
      </c>
      <c r="AS199" s="61">
        <f>SUM(AJ200:AJ208)</f>
        <v>0</v>
      </c>
      <c r="AT199" s="61">
        <f>SUM(AK200:AK208)</f>
        <v>0</v>
      </c>
      <c r="AU199" s="61">
        <f>SUM(AL200:AL208)</f>
        <v>0</v>
      </c>
    </row>
    <row r="200" spans="1:75" ht="13.5" customHeight="1" x14ac:dyDescent="0.25">
      <c r="A200" s="1" t="s">
        <v>483</v>
      </c>
      <c r="B200" s="2" t="s">
        <v>26</v>
      </c>
      <c r="C200" s="2" t="s">
        <v>484</v>
      </c>
      <c r="D200" s="95" t="s">
        <v>485</v>
      </c>
      <c r="E200" s="88"/>
      <c r="F200" s="2" t="s">
        <v>91</v>
      </c>
      <c r="G200" s="13">
        <v>23.343</v>
      </c>
      <c r="H200" s="78">
        <v>0</v>
      </c>
      <c r="I200" s="13">
        <f>G200*H200</f>
        <v>0</v>
      </c>
      <c r="K200" s="34"/>
      <c r="Z200" s="13">
        <f>IF(AQ200="5",BJ200,0)</f>
        <v>0</v>
      </c>
      <c r="AB200" s="13">
        <f>IF(AQ200="1",BH200,0)</f>
        <v>0</v>
      </c>
      <c r="AC200" s="13">
        <f>IF(AQ200="1",BI200,0)</f>
        <v>0</v>
      </c>
      <c r="AD200" s="13">
        <f>IF(AQ200="7",BH200,0)</f>
        <v>0</v>
      </c>
      <c r="AE200" s="13">
        <f>IF(AQ200="7",BI200,0)</f>
        <v>0</v>
      </c>
      <c r="AF200" s="13">
        <f>IF(AQ200="2",BH200,0)</f>
        <v>0</v>
      </c>
      <c r="AG200" s="13">
        <f>IF(AQ200="2",BI200,0)</f>
        <v>0</v>
      </c>
      <c r="AH200" s="13">
        <f>IF(AQ200="0",BJ200,0)</f>
        <v>0</v>
      </c>
      <c r="AI200" s="30" t="s">
        <v>26</v>
      </c>
      <c r="AJ200" s="13">
        <f>IF(AN200=0,I200,0)</f>
        <v>0</v>
      </c>
      <c r="AK200" s="13">
        <f>IF(AN200=12,I200,0)</f>
        <v>0</v>
      </c>
      <c r="AL200" s="13">
        <f>IF(AN200=21,I200,0)</f>
        <v>0</v>
      </c>
      <c r="AN200" s="13">
        <v>21</v>
      </c>
      <c r="AO200" s="13">
        <f>H200*0.166501149</f>
        <v>0</v>
      </c>
      <c r="AP200" s="13">
        <f>H200*(1-0.166501149)</f>
        <v>0</v>
      </c>
      <c r="AQ200" s="79" t="s">
        <v>75</v>
      </c>
      <c r="AV200" s="13">
        <f>AW200+AX200</f>
        <v>0</v>
      </c>
      <c r="AW200" s="13">
        <f>G200*AO200</f>
        <v>0</v>
      </c>
      <c r="AX200" s="13">
        <f>G200*AP200</f>
        <v>0</v>
      </c>
      <c r="AY200" s="79" t="s">
        <v>850</v>
      </c>
      <c r="AZ200" s="79" t="s">
        <v>851</v>
      </c>
      <c r="BA200" s="30" t="s">
        <v>801</v>
      </c>
      <c r="BC200" s="13">
        <f>AW200+AX200</f>
        <v>0</v>
      </c>
      <c r="BD200" s="13">
        <f>H200/(100-BE200)*100</f>
        <v>0</v>
      </c>
      <c r="BE200" s="13">
        <v>0</v>
      </c>
      <c r="BF200" s="13">
        <f>200</f>
        <v>200</v>
      </c>
      <c r="BH200" s="13">
        <f>G200*AO200</f>
        <v>0</v>
      </c>
      <c r="BI200" s="13">
        <f>G200*AP200</f>
        <v>0</v>
      </c>
      <c r="BJ200" s="13">
        <f>G200*H200</f>
        <v>0</v>
      </c>
      <c r="BK200" s="13"/>
      <c r="BL200" s="13">
        <v>771</v>
      </c>
      <c r="BW200" s="13">
        <v>21</v>
      </c>
    </row>
    <row r="201" spans="1:75" ht="13.5" customHeight="1" x14ac:dyDescent="0.25">
      <c r="A201" s="32"/>
      <c r="C201" s="80" t="s">
        <v>802</v>
      </c>
      <c r="D201" s="113" t="s">
        <v>852</v>
      </c>
      <c r="E201" s="114"/>
      <c r="F201" s="114"/>
      <c r="G201" s="114"/>
      <c r="H201" s="184"/>
      <c r="I201" s="114"/>
      <c r="J201" s="114"/>
      <c r="K201" s="185"/>
    </row>
    <row r="202" spans="1:75" ht="13.5" customHeight="1" x14ac:dyDescent="0.25">
      <c r="A202" s="1" t="s">
        <v>486</v>
      </c>
      <c r="B202" s="2" t="s">
        <v>26</v>
      </c>
      <c r="C202" s="2" t="s">
        <v>487</v>
      </c>
      <c r="D202" s="95" t="s">
        <v>488</v>
      </c>
      <c r="E202" s="88"/>
      <c r="F202" s="2" t="s">
        <v>91</v>
      </c>
      <c r="G202" s="13">
        <v>23.343</v>
      </c>
      <c r="H202" s="78">
        <v>0</v>
      </c>
      <c r="I202" s="13">
        <f t="shared" ref="I202:I208" si="62">G202*H202</f>
        <v>0</v>
      </c>
      <c r="K202" s="34"/>
      <c r="Z202" s="13">
        <f t="shared" ref="Z202:Z208" si="63">IF(AQ202="5",BJ202,0)</f>
        <v>0</v>
      </c>
      <c r="AB202" s="13">
        <f t="shared" ref="AB202:AB208" si="64">IF(AQ202="1",BH202,0)</f>
        <v>0</v>
      </c>
      <c r="AC202" s="13">
        <f t="shared" ref="AC202:AC208" si="65">IF(AQ202="1",BI202,0)</f>
        <v>0</v>
      </c>
      <c r="AD202" s="13">
        <f t="shared" ref="AD202:AD208" si="66">IF(AQ202="7",BH202,0)</f>
        <v>0</v>
      </c>
      <c r="AE202" s="13">
        <f t="shared" ref="AE202:AE208" si="67">IF(AQ202="7",BI202,0)</f>
        <v>0</v>
      </c>
      <c r="AF202" s="13">
        <f t="shared" ref="AF202:AF208" si="68">IF(AQ202="2",BH202,0)</f>
        <v>0</v>
      </c>
      <c r="AG202" s="13">
        <f t="shared" ref="AG202:AG208" si="69">IF(AQ202="2",BI202,0)</f>
        <v>0</v>
      </c>
      <c r="AH202" s="13">
        <f t="shared" ref="AH202:AH208" si="70">IF(AQ202="0",BJ202,0)</f>
        <v>0</v>
      </c>
      <c r="AI202" s="30" t="s">
        <v>26</v>
      </c>
      <c r="AJ202" s="13">
        <f t="shared" ref="AJ202:AJ208" si="71">IF(AN202=0,I202,0)</f>
        <v>0</v>
      </c>
      <c r="AK202" s="13">
        <f t="shared" ref="AK202:AK208" si="72">IF(AN202=12,I202,0)</f>
        <v>0</v>
      </c>
      <c r="AL202" s="13">
        <f t="shared" ref="AL202:AL208" si="73">IF(AN202=21,I202,0)</f>
        <v>0</v>
      </c>
      <c r="AN202" s="13">
        <v>21</v>
      </c>
      <c r="AO202" s="13">
        <f>H202*1.000659485</f>
        <v>0</v>
      </c>
      <c r="AP202" s="13">
        <f>H202*(1-1.000659485)</f>
        <v>0</v>
      </c>
      <c r="AQ202" s="79" t="s">
        <v>75</v>
      </c>
      <c r="AV202" s="13">
        <f t="shared" ref="AV202:AV208" si="74">AW202+AX202</f>
        <v>0</v>
      </c>
      <c r="AW202" s="13">
        <f t="shared" ref="AW202:AW208" si="75">G202*AO202</f>
        <v>0</v>
      </c>
      <c r="AX202" s="13">
        <f t="shared" ref="AX202:AX208" si="76">G202*AP202</f>
        <v>0</v>
      </c>
      <c r="AY202" s="79" t="s">
        <v>850</v>
      </c>
      <c r="AZ202" s="79" t="s">
        <v>851</v>
      </c>
      <c r="BA202" s="30" t="s">
        <v>801</v>
      </c>
      <c r="BC202" s="13">
        <f t="shared" ref="BC202:BC208" si="77">AW202+AX202</f>
        <v>0</v>
      </c>
      <c r="BD202" s="13">
        <f t="shared" ref="BD202:BD208" si="78">H202/(100-BE202)*100</f>
        <v>0</v>
      </c>
      <c r="BE202" s="13">
        <v>0</v>
      </c>
      <c r="BF202" s="13">
        <f>202</f>
        <v>202</v>
      </c>
      <c r="BH202" s="13">
        <f t="shared" ref="BH202:BH208" si="79">G202*AO202</f>
        <v>0</v>
      </c>
      <c r="BI202" s="13">
        <f t="shared" ref="BI202:BI208" si="80">G202*AP202</f>
        <v>0</v>
      </c>
      <c r="BJ202" s="13">
        <f t="shared" ref="BJ202:BJ208" si="81">G202*H202</f>
        <v>0</v>
      </c>
      <c r="BK202" s="13"/>
      <c r="BL202" s="13">
        <v>771</v>
      </c>
      <c r="BW202" s="13">
        <v>21</v>
      </c>
    </row>
    <row r="203" spans="1:75" ht="13.5" customHeight="1" x14ac:dyDescent="0.25">
      <c r="A203" s="1" t="s">
        <v>489</v>
      </c>
      <c r="B203" s="2" t="s">
        <v>26</v>
      </c>
      <c r="C203" s="2" t="s">
        <v>490</v>
      </c>
      <c r="D203" s="95" t="s">
        <v>491</v>
      </c>
      <c r="E203" s="88"/>
      <c r="F203" s="2" t="s">
        <v>127</v>
      </c>
      <c r="G203" s="13">
        <v>37.6</v>
      </c>
      <c r="H203" s="78">
        <v>0</v>
      </c>
      <c r="I203" s="13">
        <f t="shared" si="62"/>
        <v>0</v>
      </c>
      <c r="K203" s="34"/>
      <c r="Z203" s="13">
        <f t="shared" si="63"/>
        <v>0</v>
      </c>
      <c r="AB203" s="13">
        <f t="shared" si="64"/>
        <v>0</v>
      </c>
      <c r="AC203" s="13">
        <f t="shared" si="65"/>
        <v>0</v>
      </c>
      <c r="AD203" s="13">
        <f t="shared" si="66"/>
        <v>0</v>
      </c>
      <c r="AE203" s="13">
        <f t="shared" si="67"/>
        <v>0</v>
      </c>
      <c r="AF203" s="13">
        <f t="shared" si="68"/>
        <v>0</v>
      </c>
      <c r="AG203" s="13">
        <f t="shared" si="69"/>
        <v>0</v>
      </c>
      <c r="AH203" s="13">
        <f t="shared" si="70"/>
        <v>0</v>
      </c>
      <c r="AI203" s="30" t="s">
        <v>26</v>
      </c>
      <c r="AJ203" s="13">
        <f t="shared" si="71"/>
        <v>0</v>
      </c>
      <c r="AK203" s="13">
        <f t="shared" si="72"/>
        <v>0</v>
      </c>
      <c r="AL203" s="13">
        <f t="shared" si="73"/>
        <v>0</v>
      </c>
      <c r="AN203" s="13">
        <v>21</v>
      </c>
      <c r="AO203" s="13">
        <f>H203*0.500173337</f>
        <v>0</v>
      </c>
      <c r="AP203" s="13">
        <f>H203*(1-0.500173337)</f>
        <v>0</v>
      </c>
      <c r="AQ203" s="79" t="s">
        <v>75</v>
      </c>
      <c r="AV203" s="13">
        <f t="shared" si="74"/>
        <v>0</v>
      </c>
      <c r="AW203" s="13">
        <f t="shared" si="75"/>
        <v>0</v>
      </c>
      <c r="AX203" s="13">
        <f t="shared" si="76"/>
        <v>0</v>
      </c>
      <c r="AY203" s="79" t="s">
        <v>850</v>
      </c>
      <c r="AZ203" s="79" t="s">
        <v>851</v>
      </c>
      <c r="BA203" s="30" t="s">
        <v>801</v>
      </c>
      <c r="BC203" s="13">
        <f t="shared" si="77"/>
        <v>0</v>
      </c>
      <c r="BD203" s="13">
        <f t="shared" si="78"/>
        <v>0</v>
      </c>
      <c r="BE203" s="13">
        <v>0</v>
      </c>
      <c r="BF203" s="13">
        <f>203</f>
        <v>203</v>
      </c>
      <c r="BH203" s="13">
        <f t="shared" si="79"/>
        <v>0</v>
      </c>
      <c r="BI203" s="13">
        <f t="shared" si="80"/>
        <v>0</v>
      </c>
      <c r="BJ203" s="13">
        <f t="shared" si="81"/>
        <v>0</v>
      </c>
      <c r="BK203" s="13"/>
      <c r="BL203" s="13">
        <v>771</v>
      </c>
      <c r="BW203" s="13">
        <v>21</v>
      </c>
    </row>
    <row r="204" spans="1:75" ht="13.5" customHeight="1" x14ac:dyDescent="0.25">
      <c r="A204" s="1" t="s">
        <v>494</v>
      </c>
      <c r="B204" s="2" t="s">
        <v>26</v>
      </c>
      <c r="C204" s="2" t="s">
        <v>495</v>
      </c>
      <c r="D204" s="95" t="s">
        <v>496</v>
      </c>
      <c r="E204" s="88"/>
      <c r="F204" s="2" t="s">
        <v>91</v>
      </c>
      <c r="G204" s="13">
        <v>23.343</v>
      </c>
      <c r="H204" s="78">
        <v>0</v>
      </c>
      <c r="I204" s="13">
        <f t="shared" si="62"/>
        <v>0</v>
      </c>
      <c r="K204" s="34"/>
      <c r="Z204" s="13">
        <f t="shared" si="63"/>
        <v>0</v>
      </c>
      <c r="AB204" s="13">
        <f t="shared" si="64"/>
        <v>0</v>
      </c>
      <c r="AC204" s="13">
        <f t="shared" si="65"/>
        <v>0</v>
      </c>
      <c r="AD204" s="13">
        <f t="shared" si="66"/>
        <v>0</v>
      </c>
      <c r="AE204" s="13">
        <f t="shared" si="67"/>
        <v>0</v>
      </c>
      <c r="AF204" s="13">
        <f t="shared" si="68"/>
        <v>0</v>
      </c>
      <c r="AG204" s="13">
        <f t="shared" si="69"/>
        <v>0</v>
      </c>
      <c r="AH204" s="13">
        <f t="shared" si="70"/>
        <v>0</v>
      </c>
      <c r="AI204" s="30" t="s">
        <v>26</v>
      </c>
      <c r="AJ204" s="13">
        <f t="shared" si="71"/>
        <v>0</v>
      </c>
      <c r="AK204" s="13">
        <f t="shared" si="72"/>
        <v>0</v>
      </c>
      <c r="AL204" s="13">
        <f t="shared" si="73"/>
        <v>0</v>
      </c>
      <c r="AN204" s="13">
        <v>21</v>
      </c>
      <c r="AO204" s="13">
        <f>H204*0</f>
        <v>0</v>
      </c>
      <c r="AP204" s="13">
        <f>H204*(1-0)</f>
        <v>0</v>
      </c>
      <c r="AQ204" s="79" t="s">
        <v>75</v>
      </c>
      <c r="AV204" s="13">
        <f t="shared" si="74"/>
        <v>0</v>
      </c>
      <c r="AW204" s="13">
        <f t="shared" si="75"/>
        <v>0</v>
      </c>
      <c r="AX204" s="13">
        <f t="shared" si="76"/>
        <v>0</v>
      </c>
      <c r="AY204" s="79" t="s">
        <v>850</v>
      </c>
      <c r="AZ204" s="79" t="s">
        <v>851</v>
      </c>
      <c r="BA204" s="30" t="s">
        <v>801</v>
      </c>
      <c r="BC204" s="13">
        <f t="shared" si="77"/>
        <v>0</v>
      </c>
      <c r="BD204" s="13">
        <f t="shared" si="78"/>
        <v>0</v>
      </c>
      <c r="BE204" s="13">
        <v>0</v>
      </c>
      <c r="BF204" s="13">
        <f>204</f>
        <v>204</v>
      </c>
      <c r="BH204" s="13">
        <f t="shared" si="79"/>
        <v>0</v>
      </c>
      <c r="BI204" s="13">
        <f t="shared" si="80"/>
        <v>0</v>
      </c>
      <c r="BJ204" s="13">
        <f t="shared" si="81"/>
        <v>0</v>
      </c>
      <c r="BK204" s="13"/>
      <c r="BL204" s="13">
        <v>771</v>
      </c>
      <c r="BW204" s="13">
        <v>21</v>
      </c>
    </row>
    <row r="205" spans="1:75" ht="13.5" customHeight="1" x14ac:dyDescent="0.25">
      <c r="A205" s="1" t="s">
        <v>497</v>
      </c>
      <c r="B205" s="2" t="s">
        <v>26</v>
      </c>
      <c r="C205" s="2" t="s">
        <v>498</v>
      </c>
      <c r="D205" s="95" t="s">
        <v>499</v>
      </c>
      <c r="E205" s="88"/>
      <c r="F205" s="2" t="s">
        <v>91</v>
      </c>
      <c r="G205" s="13">
        <v>23.343</v>
      </c>
      <c r="H205" s="78">
        <v>0</v>
      </c>
      <c r="I205" s="13">
        <f t="shared" si="62"/>
        <v>0</v>
      </c>
      <c r="K205" s="34"/>
      <c r="Z205" s="13">
        <f t="shared" si="63"/>
        <v>0</v>
      </c>
      <c r="AB205" s="13">
        <f t="shared" si="64"/>
        <v>0</v>
      </c>
      <c r="AC205" s="13">
        <f t="shared" si="65"/>
        <v>0</v>
      </c>
      <c r="AD205" s="13">
        <f t="shared" si="66"/>
        <v>0</v>
      </c>
      <c r="AE205" s="13">
        <f t="shared" si="67"/>
        <v>0</v>
      </c>
      <c r="AF205" s="13">
        <f t="shared" si="68"/>
        <v>0</v>
      </c>
      <c r="AG205" s="13">
        <f t="shared" si="69"/>
        <v>0</v>
      </c>
      <c r="AH205" s="13">
        <f t="shared" si="70"/>
        <v>0</v>
      </c>
      <c r="AI205" s="30" t="s">
        <v>26</v>
      </c>
      <c r="AJ205" s="13">
        <f t="shared" si="71"/>
        <v>0</v>
      </c>
      <c r="AK205" s="13">
        <f t="shared" si="72"/>
        <v>0</v>
      </c>
      <c r="AL205" s="13">
        <f t="shared" si="73"/>
        <v>0</v>
      </c>
      <c r="AN205" s="13">
        <v>21</v>
      </c>
      <c r="AO205" s="13">
        <f>H205*0.477367723</f>
        <v>0</v>
      </c>
      <c r="AP205" s="13">
        <f>H205*(1-0.477367723)</f>
        <v>0</v>
      </c>
      <c r="AQ205" s="79" t="s">
        <v>75</v>
      </c>
      <c r="AV205" s="13">
        <f t="shared" si="74"/>
        <v>0</v>
      </c>
      <c r="AW205" s="13">
        <f t="shared" si="75"/>
        <v>0</v>
      </c>
      <c r="AX205" s="13">
        <f t="shared" si="76"/>
        <v>0</v>
      </c>
      <c r="AY205" s="79" t="s">
        <v>850</v>
      </c>
      <c r="AZ205" s="79" t="s">
        <v>851</v>
      </c>
      <c r="BA205" s="30" t="s">
        <v>801</v>
      </c>
      <c r="BC205" s="13">
        <f t="shared" si="77"/>
        <v>0</v>
      </c>
      <c r="BD205" s="13">
        <f t="shared" si="78"/>
        <v>0</v>
      </c>
      <c r="BE205" s="13">
        <v>0</v>
      </c>
      <c r="BF205" s="13">
        <f>205</f>
        <v>205</v>
      </c>
      <c r="BH205" s="13">
        <f t="shared" si="79"/>
        <v>0</v>
      </c>
      <c r="BI205" s="13">
        <f t="shared" si="80"/>
        <v>0</v>
      </c>
      <c r="BJ205" s="13">
        <f t="shared" si="81"/>
        <v>0</v>
      </c>
      <c r="BK205" s="13"/>
      <c r="BL205" s="13">
        <v>771</v>
      </c>
      <c r="BW205" s="13">
        <v>21</v>
      </c>
    </row>
    <row r="206" spans="1:75" ht="13.5" customHeight="1" x14ac:dyDescent="0.25">
      <c r="A206" s="1" t="s">
        <v>500</v>
      </c>
      <c r="B206" s="2" t="s">
        <v>26</v>
      </c>
      <c r="C206" s="2" t="s">
        <v>501</v>
      </c>
      <c r="D206" s="95" t="s">
        <v>502</v>
      </c>
      <c r="E206" s="88"/>
      <c r="F206" s="2" t="s">
        <v>91</v>
      </c>
      <c r="G206" s="13">
        <v>25.677299999999999</v>
      </c>
      <c r="H206" s="78">
        <v>0</v>
      </c>
      <c r="I206" s="13">
        <f t="shared" si="62"/>
        <v>0</v>
      </c>
      <c r="K206" s="34"/>
      <c r="Z206" s="13">
        <f t="shared" si="63"/>
        <v>0</v>
      </c>
      <c r="AB206" s="13">
        <f t="shared" si="64"/>
        <v>0</v>
      </c>
      <c r="AC206" s="13">
        <f t="shared" si="65"/>
        <v>0</v>
      </c>
      <c r="AD206" s="13">
        <f t="shared" si="66"/>
        <v>0</v>
      </c>
      <c r="AE206" s="13">
        <f t="shared" si="67"/>
        <v>0</v>
      </c>
      <c r="AF206" s="13">
        <f t="shared" si="68"/>
        <v>0</v>
      </c>
      <c r="AG206" s="13">
        <f t="shared" si="69"/>
        <v>0</v>
      </c>
      <c r="AH206" s="13">
        <f t="shared" si="70"/>
        <v>0</v>
      </c>
      <c r="AI206" s="30" t="s">
        <v>26</v>
      </c>
      <c r="AJ206" s="13">
        <f t="shared" si="71"/>
        <v>0</v>
      </c>
      <c r="AK206" s="13">
        <f t="shared" si="72"/>
        <v>0</v>
      </c>
      <c r="AL206" s="13">
        <f t="shared" si="73"/>
        <v>0</v>
      </c>
      <c r="AN206" s="13">
        <v>21</v>
      </c>
      <c r="AO206" s="13">
        <f>H206*1</f>
        <v>0</v>
      </c>
      <c r="AP206" s="13">
        <f>H206*(1-1)</f>
        <v>0</v>
      </c>
      <c r="AQ206" s="79" t="s">
        <v>75</v>
      </c>
      <c r="AV206" s="13">
        <f t="shared" si="74"/>
        <v>0</v>
      </c>
      <c r="AW206" s="13">
        <f t="shared" si="75"/>
        <v>0</v>
      </c>
      <c r="AX206" s="13">
        <f t="shared" si="76"/>
        <v>0</v>
      </c>
      <c r="AY206" s="79" t="s">
        <v>850</v>
      </c>
      <c r="AZ206" s="79" t="s">
        <v>851</v>
      </c>
      <c r="BA206" s="30" t="s">
        <v>801</v>
      </c>
      <c r="BC206" s="13">
        <f t="shared" si="77"/>
        <v>0</v>
      </c>
      <c r="BD206" s="13">
        <f t="shared" si="78"/>
        <v>0</v>
      </c>
      <c r="BE206" s="13">
        <v>0</v>
      </c>
      <c r="BF206" s="13">
        <f>206</f>
        <v>206</v>
      </c>
      <c r="BH206" s="13">
        <f t="shared" si="79"/>
        <v>0</v>
      </c>
      <c r="BI206" s="13">
        <f t="shared" si="80"/>
        <v>0</v>
      </c>
      <c r="BJ206" s="13">
        <f t="shared" si="81"/>
        <v>0</v>
      </c>
      <c r="BK206" s="13"/>
      <c r="BL206" s="13">
        <v>771</v>
      </c>
      <c r="BW206" s="13">
        <v>21</v>
      </c>
    </row>
    <row r="207" spans="1:75" ht="13.5" customHeight="1" x14ac:dyDescent="0.25">
      <c r="A207" s="1" t="s">
        <v>504</v>
      </c>
      <c r="B207" s="2" t="s">
        <v>26</v>
      </c>
      <c r="C207" s="2" t="s">
        <v>505</v>
      </c>
      <c r="D207" s="95" t="s">
        <v>506</v>
      </c>
      <c r="E207" s="88"/>
      <c r="F207" s="2" t="s">
        <v>91</v>
      </c>
      <c r="G207" s="13">
        <v>23.343</v>
      </c>
      <c r="H207" s="78">
        <v>0</v>
      </c>
      <c r="I207" s="13">
        <f t="shared" si="62"/>
        <v>0</v>
      </c>
      <c r="K207" s="34"/>
      <c r="Z207" s="13">
        <f t="shared" si="63"/>
        <v>0</v>
      </c>
      <c r="AB207" s="13">
        <f t="shared" si="64"/>
        <v>0</v>
      </c>
      <c r="AC207" s="13">
        <f t="shared" si="65"/>
        <v>0</v>
      </c>
      <c r="AD207" s="13">
        <f t="shared" si="66"/>
        <v>0</v>
      </c>
      <c r="AE207" s="13">
        <f t="shared" si="67"/>
        <v>0</v>
      </c>
      <c r="AF207" s="13">
        <f t="shared" si="68"/>
        <v>0</v>
      </c>
      <c r="AG207" s="13">
        <f t="shared" si="69"/>
        <v>0</v>
      </c>
      <c r="AH207" s="13">
        <f t="shared" si="70"/>
        <v>0</v>
      </c>
      <c r="AI207" s="30" t="s">
        <v>26</v>
      </c>
      <c r="AJ207" s="13">
        <f t="shared" si="71"/>
        <v>0</v>
      </c>
      <c r="AK207" s="13">
        <f t="shared" si="72"/>
        <v>0</v>
      </c>
      <c r="AL207" s="13">
        <f t="shared" si="73"/>
        <v>0</v>
      </c>
      <c r="AN207" s="13">
        <v>21</v>
      </c>
      <c r="AO207" s="13">
        <f>H207*0</f>
        <v>0</v>
      </c>
      <c r="AP207" s="13">
        <f>H207*(1-0)</f>
        <v>0</v>
      </c>
      <c r="AQ207" s="79" t="s">
        <v>75</v>
      </c>
      <c r="AV207" s="13">
        <f t="shared" si="74"/>
        <v>0</v>
      </c>
      <c r="AW207" s="13">
        <f t="shared" si="75"/>
        <v>0</v>
      </c>
      <c r="AX207" s="13">
        <f t="shared" si="76"/>
        <v>0</v>
      </c>
      <c r="AY207" s="79" t="s">
        <v>850</v>
      </c>
      <c r="AZ207" s="79" t="s">
        <v>851</v>
      </c>
      <c r="BA207" s="30" t="s">
        <v>801</v>
      </c>
      <c r="BC207" s="13">
        <f t="shared" si="77"/>
        <v>0</v>
      </c>
      <c r="BD207" s="13">
        <f t="shared" si="78"/>
        <v>0</v>
      </c>
      <c r="BE207" s="13">
        <v>0</v>
      </c>
      <c r="BF207" s="13">
        <f>207</f>
        <v>207</v>
      </c>
      <c r="BH207" s="13">
        <f t="shared" si="79"/>
        <v>0</v>
      </c>
      <c r="BI207" s="13">
        <f t="shared" si="80"/>
        <v>0</v>
      </c>
      <c r="BJ207" s="13">
        <f t="shared" si="81"/>
        <v>0</v>
      </c>
      <c r="BK207" s="13"/>
      <c r="BL207" s="13">
        <v>771</v>
      </c>
      <c r="BW207" s="13">
        <v>21</v>
      </c>
    </row>
    <row r="208" spans="1:75" ht="13.5" customHeight="1" x14ac:dyDescent="0.25">
      <c r="A208" s="1" t="s">
        <v>508</v>
      </c>
      <c r="B208" s="2" t="s">
        <v>26</v>
      </c>
      <c r="C208" s="2" t="s">
        <v>509</v>
      </c>
      <c r="D208" s="95" t="s">
        <v>510</v>
      </c>
      <c r="E208" s="88"/>
      <c r="F208" s="2" t="s">
        <v>231</v>
      </c>
      <c r="G208" s="13">
        <v>494.72</v>
      </c>
      <c r="H208" s="78">
        <v>0</v>
      </c>
      <c r="I208" s="13">
        <f t="shared" si="62"/>
        <v>0</v>
      </c>
      <c r="K208" s="34"/>
      <c r="Z208" s="13">
        <f t="shared" si="63"/>
        <v>0</v>
      </c>
      <c r="AB208" s="13">
        <f t="shared" si="64"/>
        <v>0</v>
      </c>
      <c r="AC208" s="13">
        <f t="shared" si="65"/>
        <v>0</v>
      </c>
      <c r="AD208" s="13">
        <f t="shared" si="66"/>
        <v>0</v>
      </c>
      <c r="AE208" s="13">
        <f t="shared" si="67"/>
        <v>0</v>
      </c>
      <c r="AF208" s="13">
        <f t="shared" si="68"/>
        <v>0</v>
      </c>
      <c r="AG208" s="13">
        <f t="shared" si="69"/>
        <v>0</v>
      </c>
      <c r="AH208" s="13">
        <f t="shared" si="70"/>
        <v>0</v>
      </c>
      <c r="AI208" s="30" t="s">
        <v>26</v>
      </c>
      <c r="AJ208" s="13">
        <f t="shared" si="71"/>
        <v>0</v>
      </c>
      <c r="AK208" s="13">
        <f t="shared" si="72"/>
        <v>0</v>
      </c>
      <c r="AL208" s="13">
        <f t="shared" si="73"/>
        <v>0</v>
      </c>
      <c r="AN208" s="13">
        <v>21</v>
      </c>
      <c r="AO208" s="13">
        <f>H208*0</f>
        <v>0</v>
      </c>
      <c r="AP208" s="13">
        <f>H208*(1-0)</f>
        <v>0</v>
      </c>
      <c r="AQ208" s="79" t="s">
        <v>70</v>
      </c>
      <c r="AV208" s="13">
        <f t="shared" si="74"/>
        <v>0</v>
      </c>
      <c r="AW208" s="13">
        <f t="shared" si="75"/>
        <v>0</v>
      </c>
      <c r="AX208" s="13">
        <f t="shared" si="76"/>
        <v>0</v>
      </c>
      <c r="AY208" s="79" t="s">
        <v>850</v>
      </c>
      <c r="AZ208" s="79" t="s">
        <v>851</v>
      </c>
      <c r="BA208" s="30" t="s">
        <v>801</v>
      </c>
      <c r="BC208" s="13">
        <f t="shared" si="77"/>
        <v>0</v>
      </c>
      <c r="BD208" s="13">
        <f t="shared" si="78"/>
        <v>0</v>
      </c>
      <c r="BE208" s="13">
        <v>0</v>
      </c>
      <c r="BF208" s="13">
        <f>208</f>
        <v>208</v>
      </c>
      <c r="BH208" s="13">
        <f t="shared" si="79"/>
        <v>0</v>
      </c>
      <c r="BI208" s="13">
        <f t="shared" si="80"/>
        <v>0</v>
      </c>
      <c r="BJ208" s="13">
        <f t="shared" si="81"/>
        <v>0</v>
      </c>
      <c r="BK208" s="13"/>
      <c r="BL208" s="13">
        <v>771</v>
      </c>
      <c r="BW208" s="13">
        <v>21</v>
      </c>
    </row>
    <row r="209" spans="1:75" x14ac:dyDescent="0.25">
      <c r="A209" s="75" t="s">
        <v>20</v>
      </c>
      <c r="B209" s="29" t="s">
        <v>26</v>
      </c>
      <c r="C209" s="29" t="s">
        <v>511</v>
      </c>
      <c r="D209" s="183" t="s">
        <v>512</v>
      </c>
      <c r="E209" s="112"/>
      <c r="F209" s="76" t="s">
        <v>13</v>
      </c>
      <c r="G209" s="76" t="s">
        <v>13</v>
      </c>
      <c r="H209" s="77" t="s">
        <v>13</v>
      </c>
      <c r="I209" s="61">
        <f>SUM(I210:I227)</f>
        <v>0</v>
      </c>
      <c r="K209" s="34"/>
      <c r="AI209" s="30" t="s">
        <v>26</v>
      </c>
      <c r="AS209" s="61">
        <f>SUM(AJ210:AJ227)</f>
        <v>0</v>
      </c>
      <c r="AT209" s="61">
        <f>SUM(AK210:AK227)</f>
        <v>0</v>
      </c>
      <c r="AU209" s="61">
        <f>SUM(AL210:AL227)</f>
        <v>0</v>
      </c>
    </row>
    <row r="210" spans="1:75" ht="13.5" customHeight="1" x14ac:dyDescent="0.25">
      <c r="A210" s="1" t="s">
        <v>513</v>
      </c>
      <c r="B210" s="2" t="s">
        <v>26</v>
      </c>
      <c r="C210" s="2" t="s">
        <v>514</v>
      </c>
      <c r="D210" s="95" t="s">
        <v>515</v>
      </c>
      <c r="E210" s="88"/>
      <c r="F210" s="2" t="s">
        <v>91</v>
      </c>
      <c r="G210" s="13">
        <v>95.619100000000003</v>
      </c>
      <c r="H210" s="78">
        <v>0</v>
      </c>
      <c r="I210" s="13">
        <f t="shared" ref="I210:I216" si="82">G210*H210</f>
        <v>0</v>
      </c>
      <c r="K210" s="34"/>
      <c r="Z210" s="13">
        <f t="shared" ref="Z210:Z216" si="83">IF(AQ210="5",BJ210,0)</f>
        <v>0</v>
      </c>
      <c r="AB210" s="13">
        <f t="shared" ref="AB210:AB216" si="84">IF(AQ210="1",BH210,0)</f>
        <v>0</v>
      </c>
      <c r="AC210" s="13">
        <f t="shared" ref="AC210:AC216" si="85">IF(AQ210="1",BI210,0)</f>
        <v>0</v>
      </c>
      <c r="AD210" s="13">
        <f t="shared" ref="AD210:AD216" si="86">IF(AQ210="7",BH210,0)</f>
        <v>0</v>
      </c>
      <c r="AE210" s="13">
        <f t="shared" ref="AE210:AE216" si="87">IF(AQ210="7",BI210,0)</f>
        <v>0</v>
      </c>
      <c r="AF210" s="13">
        <f t="shared" ref="AF210:AF216" si="88">IF(AQ210="2",BH210,0)</f>
        <v>0</v>
      </c>
      <c r="AG210" s="13">
        <f t="shared" ref="AG210:AG216" si="89">IF(AQ210="2",BI210,0)</f>
        <v>0</v>
      </c>
      <c r="AH210" s="13">
        <f t="shared" ref="AH210:AH216" si="90">IF(AQ210="0",BJ210,0)</f>
        <v>0</v>
      </c>
      <c r="AI210" s="30" t="s">
        <v>26</v>
      </c>
      <c r="AJ210" s="13">
        <f t="shared" ref="AJ210:AJ216" si="91">IF(AN210=0,I210,0)</f>
        <v>0</v>
      </c>
      <c r="AK210" s="13">
        <f t="shared" ref="AK210:AK216" si="92">IF(AN210=12,I210,0)</f>
        <v>0</v>
      </c>
      <c r="AL210" s="13">
        <f t="shared" ref="AL210:AL216" si="93">IF(AN210=21,I210,0)</f>
        <v>0</v>
      </c>
      <c r="AN210" s="13">
        <v>21</v>
      </c>
      <c r="AO210" s="13">
        <f>H210*0</f>
        <v>0</v>
      </c>
      <c r="AP210" s="13">
        <f>H210*(1-0)</f>
        <v>0</v>
      </c>
      <c r="AQ210" s="79" t="s">
        <v>75</v>
      </c>
      <c r="AV210" s="13">
        <f t="shared" ref="AV210:AV216" si="94">AW210+AX210</f>
        <v>0</v>
      </c>
      <c r="AW210" s="13">
        <f t="shared" ref="AW210:AW216" si="95">G210*AO210</f>
        <v>0</v>
      </c>
      <c r="AX210" s="13">
        <f t="shared" ref="AX210:AX216" si="96">G210*AP210</f>
        <v>0</v>
      </c>
      <c r="AY210" s="79" t="s">
        <v>853</v>
      </c>
      <c r="AZ210" s="79" t="s">
        <v>854</v>
      </c>
      <c r="BA210" s="30" t="s">
        <v>801</v>
      </c>
      <c r="BC210" s="13">
        <f t="shared" ref="BC210:BC216" si="97">AW210+AX210</f>
        <v>0</v>
      </c>
      <c r="BD210" s="13">
        <f t="shared" ref="BD210:BD216" si="98">H210/(100-BE210)*100</f>
        <v>0</v>
      </c>
      <c r="BE210" s="13">
        <v>0</v>
      </c>
      <c r="BF210" s="13">
        <f>210</f>
        <v>210</v>
      </c>
      <c r="BH210" s="13">
        <f t="shared" ref="BH210:BH216" si="99">G210*AO210</f>
        <v>0</v>
      </c>
      <c r="BI210" s="13">
        <f t="shared" ref="BI210:BI216" si="100">G210*AP210</f>
        <v>0</v>
      </c>
      <c r="BJ210" s="13">
        <f t="shared" ref="BJ210:BJ216" si="101">G210*H210</f>
        <v>0</v>
      </c>
      <c r="BK210" s="13"/>
      <c r="BL210" s="13">
        <v>781</v>
      </c>
      <c r="BW210" s="13">
        <v>21</v>
      </c>
    </row>
    <row r="211" spans="1:75" ht="13.5" customHeight="1" x14ac:dyDescent="0.25">
      <c r="A211" s="1" t="s">
        <v>523</v>
      </c>
      <c r="B211" s="2" t="s">
        <v>26</v>
      </c>
      <c r="C211" s="2" t="s">
        <v>524</v>
      </c>
      <c r="D211" s="95" t="s">
        <v>525</v>
      </c>
      <c r="E211" s="88"/>
      <c r="F211" s="2" t="s">
        <v>91</v>
      </c>
      <c r="G211" s="13">
        <v>5.64</v>
      </c>
      <c r="H211" s="78">
        <v>0</v>
      </c>
      <c r="I211" s="13">
        <f t="shared" si="82"/>
        <v>0</v>
      </c>
      <c r="K211" s="34"/>
      <c r="Z211" s="13">
        <f t="shared" si="83"/>
        <v>0</v>
      </c>
      <c r="AB211" s="13">
        <f t="shared" si="84"/>
        <v>0</v>
      </c>
      <c r="AC211" s="13">
        <f t="shared" si="85"/>
        <v>0</v>
      </c>
      <c r="AD211" s="13">
        <f t="shared" si="86"/>
        <v>0</v>
      </c>
      <c r="AE211" s="13">
        <f t="shared" si="87"/>
        <v>0</v>
      </c>
      <c r="AF211" s="13">
        <f t="shared" si="88"/>
        <v>0</v>
      </c>
      <c r="AG211" s="13">
        <f t="shared" si="89"/>
        <v>0</v>
      </c>
      <c r="AH211" s="13">
        <f t="shared" si="90"/>
        <v>0</v>
      </c>
      <c r="AI211" s="30" t="s">
        <v>26</v>
      </c>
      <c r="AJ211" s="13">
        <f t="shared" si="91"/>
        <v>0</v>
      </c>
      <c r="AK211" s="13">
        <f t="shared" si="92"/>
        <v>0</v>
      </c>
      <c r="AL211" s="13">
        <f t="shared" si="93"/>
        <v>0</v>
      </c>
      <c r="AN211" s="13">
        <v>21</v>
      </c>
      <c r="AO211" s="13">
        <f>H211*0.089706683</f>
        <v>0</v>
      </c>
      <c r="AP211" s="13">
        <f>H211*(1-0.089706683)</f>
        <v>0</v>
      </c>
      <c r="AQ211" s="79" t="s">
        <v>75</v>
      </c>
      <c r="AV211" s="13">
        <f t="shared" si="94"/>
        <v>0</v>
      </c>
      <c r="AW211" s="13">
        <f t="shared" si="95"/>
        <v>0</v>
      </c>
      <c r="AX211" s="13">
        <f t="shared" si="96"/>
        <v>0</v>
      </c>
      <c r="AY211" s="79" t="s">
        <v>853</v>
      </c>
      <c r="AZ211" s="79" t="s">
        <v>854</v>
      </c>
      <c r="BA211" s="30" t="s">
        <v>801</v>
      </c>
      <c r="BC211" s="13">
        <f t="shared" si="97"/>
        <v>0</v>
      </c>
      <c r="BD211" s="13">
        <f t="shared" si="98"/>
        <v>0</v>
      </c>
      <c r="BE211" s="13">
        <v>0</v>
      </c>
      <c r="BF211" s="13">
        <f>211</f>
        <v>211</v>
      </c>
      <c r="BH211" s="13">
        <f t="shared" si="99"/>
        <v>0</v>
      </c>
      <c r="BI211" s="13">
        <f t="shared" si="100"/>
        <v>0</v>
      </c>
      <c r="BJ211" s="13">
        <f t="shared" si="101"/>
        <v>0</v>
      </c>
      <c r="BK211" s="13"/>
      <c r="BL211" s="13">
        <v>781</v>
      </c>
      <c r="BW211" s="13">
        <v>21</v>
      </c>
    </row>
    <row r="212" spans="1:75" ht="13.5" customHeight="1" x14ac:dyDescent="0.25">
      <c r="A212" s="1" t="s">
        <v>528</v>
      </c>
      <c r="B212" s="2" t="s">
        <v>26</v>
      </c>
      <c r="C212" s="2" t="s">
        <v>529</v>
      </c>
      <c r="D212" s="95" t="s">
        <v>530</v>
      </c>
      <c r="E212" s="88"/>
      <c r="F212" s="2" t="s">
        <v>91</v>
      </c>
      <c r="G212" s="13">
        <v>75.2</v>
      </c>
      <c r="H212" s="78">
        <v>0</v>
      </c>
      <c r="I212" s="13">
        <f t="shared" si="82"/>
        <v>0</v>
      </c>
      <c r="K212" s="34"/>
      <c r="Z212" s="13">
        <f t="shared" si="83"/>
        <v>0</v>
      </c>
      <c r="AB212" s="13">
        <f t="shared" si="84"/>
        <v>0</v>
      </c>
      <c r="AC212" s="13">
        <f t="shared" si="85"/>
        <v>0</v>
      </c>
      <c r="AD212" s="13">
        <f t="shared" si="86"/>
        <v>0</v>
      </c>
      <c r="AE212" s="13">
        <f t="shared" si="87"/>
        <v>0</v>
      </c>
      <c r="AF212" s="13">
        <f t="shared" si="88"/>
        <v>0</v>
      </c>
      <c r="AG212" s="13">
        <f t="shared" si="89"/>
        <v>0</v>
      </c>
      <c r="AH212" s="13">
        <f t="shared" si="90"/>
        <v>0</v>
      </c>
      <c r="AI212" s="30" t="s">
        <v>26</v>
      </c>
      <c r="AJ212" s="13">
        <f t="shared" si="91"/>
        <v>0</v>
      </c>
      <c r="AK212" s="13">
        <f t="shared" si="92"/>
        <v>0</v>
      </c>
      <c r="AL212" s="13">
        <f t="shared" si="93"/>
        <v>0</v>
      </c>
      <c r="AN212" s="13">
        <v>21</v>
      </c>
      <c r="AO212" s="13">
        <f>H212*0.220748318</f>
        <v>0</v>
      </c>
      <c r="AP212" s="13">
        <f>H212*(1-0.220748318)</f>
        <v>0</v>
      </c>
      <c r="AQ212" s="79" t="s">
        <v>75</v>
      </c>
      <c r="AV212" s="13">
        <f t="shared" si="94"/>
        <v>0</v>
      </c>
      <c r="AW212" s="13">
        <f t="shared" si="95"/>
        <v>0</v>
      </c>
      <c r="AX212" s="13">
        <f t="shared" si="96"/>
        <v>0</v>
      </c>
      <c r="AY212" s="79" t="s">
        <v>853</v>
      </c>
      <c r="AZ212" s="79" t="s">
        <v>854</v>
      </c>
      <c r="BA212" s="30" t="s">
        <v>801</v>
      </c>
      <c r="BC212" s="13">
        <f t="shared" si="97"/>
        <v>0</v>
      </c>
      <c r="BD212" s="13">
        <f t="shared" si="98"/>
        <v>0</v>
      </c>
      <c r="BE212" s="13">
        <v>0</v>
      </c>
      <c r="BF212" s="13">
        <f>212</f>
        <v>212</v>
      </c>
      <c r="BH212" s="13">
        <f t="shared" si="99"/>
        <v>0</v>
      </c>
      <c r="BI212" s="13">
        <f t="shared" si="100"/>
        <v>0</v>
      </c>
      <c r="BJ212" s="13">
        <f t="shared" si="101"/>
        <v>0</v>
      </c>
      <c r="BK212" s="13"/>
      <c r="BL212" s="13">
        <v>781</v>
      </c>
      <c r="BW212" s="13">
        <v>21</v>
      </c>
    </row>
    <row r="213" spans="1:75" ht="13.5" customHeight="1" x14ac:dyDescent="0.25">
      <c r="A213" s="1" t="s">
        <v>533</v>
      </c>
      <c r="B213" s="2" t="s">
        <v>26</v>
      </c>
      <c r="C213" s="2" t="s">
        <v>534</v>
      </c>
      <c r="D213" s="95" t="s">
        <v>535</v>
      </c>
      <c r="E213" s="88"/>
      <c r="F213" s="2" t="s">
        <v>91</v>
      </c>
      <c r="G213" s="13">
        <v>80.84</v>
      </c>
      <c r="H213" s="78">
        <v>0</v>
      </c>
      <c r="I213" s="13">
        <f t="shared" si="82"/>
        <v>0</v>
      </c>
      <c r="K213" s="34"/>
      <c r="Z213" s="13">
        <f t="shared" si="83"/>
        <v>0</v>
      </c>
      <c r="AB213" s="13">
        <f t="shared" si="84"/>
        <v>0</v>
      </c>
      <c r="AC213" s="13">
        <f t="shared" si="85"/>
        <v>0</v>
      </c>
      <c r="AD213" s="13">
        <f t="shared" si="86"/>
        <v>0</v>
      </c>
      <c r="AE213" s="13">
        <f t="shared" si="87"/>
        <v>0</v>
      </c>
      <c r="AF213" s="13">
        <f t="shared" si="88"/>
        <v>0</v>
      </c>
      <c r="AG213" s="13">
        <f t="shared" si="89"/>
        <v>0</v>
      </c>
      <c r="AH213" s="13">
        <f t="shared" si="90"/>
        <v>0</v>
      </c>
      <c r="AI213" s="30" t="s">
        <v>26</v>
      </c>
      <c r="AJ213" s="13">
        <f t="shared" si="91"/>
        <v>0</v>
      </c>
      <c r="AK213" s="13">
        <f t="shared" si="92"/>
        <v>0</v>
      </c>
      <c r="AL213" s="13">
        <f t="shared" si="93"/>
        <v>0</v>
      </c>
      <c r="AN213" s="13">
        <v>21</v>
      </c>
      <c r="AO213" s="13">
        <f>H213*0.47736585</f>
        <v>0</v>
      </c>
      <c r="AP213" s="13">
        <f>H213*(1-0.47736585)</f>
        <v>0</v>
      </c>
      <c r="AQ213" s="79" t="s">
        <v>75</v>
      </c>
      <c r="AV213" s="13">
        <f t="shared" si="94"/>
        <v>0</v>
      </c>
      <c r="AW213" s="13">
        <f t="shared" si="95"/>
        <v>0</v>
      </c>
      <c r="AX213" s="13">
        <f t="shared" si="96"/>
        <v>0</v>
      </c>
      <c r="AY213" s="79" t="s">
        <v>853</v>
      </c>
      <c r="AZ213" s="79" t="s">
        <v>854</v>
      </c>
      <c r="BA213" s="30" t="s">
        <v>801</v>
      </c>
      <c r="BC213" s="13">
        <f t="shared" si="97"/>
        <v>0</v>
      </c>
      <c r="BD213" s="13">
        <f t="shared" si="98"/>
        <v>0</v>
      </c>
      <c r="BE213" s="13">
        <v>0</v>
      </c>
      <c r="BF213" s="13">
        <f>213</f>
        <v>213</v>
      </c>
      <c r="BH213" s="13">
        <f t="shared" si="99"/>
        <v>0</v>
      </c>
      <c r="BI213" s="13">
        <f t="shared" si="100"/>
        <v>0</v>
      </c>
      <c r="BJ213" s="13">
        <f t="shared" si="101"/>
        <v>0</v>
      </c>
      <c r="BK213" s="13"/>
      <c r="BL213" s="13">
        <v>781</v>
      </c>
      <c r="BW213" s="13">
        <v>21</v>
      </c>
    </row>
    <row r="214" spans="1:75" ht="13.5" customHeight="1" x14ac:dyDescent="0.25">
      <c r="A214" s="1" t="s">
        <v>536</v>
      </c>
      <c r="B214" s="2" t="s">
        <v>26</v>
      </c>
      <c r="C214" s="2" t="s">
        <v>537</v>
      </c>
      <c r="D214" s="95" t="s">
        <v>538</v>
      </c>
      <c r="E214" s="88"/>
      <c r="F214" s="2" t="s">
        <v>91</v>
      </c>
      <c r="G214" s="13">
        <v>80.84</v>
      </c>
      <c r="H214" s="78">
        <v>0</v>
      </c>
      <c r="I214" s="13">
        <f t="shared" si="82"/>
        <v>0</v>
      </c>
      <c r="K214" s="34"/>
      <c r="Z214" s="13">
        <f t="shared" si="83"/>
        <v>0</v>
      </c>
      <c r="AB214" s="13">
        <f t="shared" si="84"/>
        <v>0</v>
      </c>
      <c r="AC214" s="13">
        <f t="shared" si="85"/>
        <v>0</v>
      </c>
      <c r="AD214" s="13">
        <f t="shared" si="86"/>
        <v>0</v>
      </c>
      <c r="AE214" s="13">
        <f t="shared" si="87"/>
        <v>0</v>
      </c>
      <c r="AF214" s="13">
        <f t="shared" si="88"/>
        <v>0</v>
      </c>
      <c r="AG214" s="13">
        <f t="shared" si="89"/>
        <v>0</v>
      </c>
      <c r="AH214" s="13">
        <f t="shared" si="90"/>
        <v>0</v>
      </c>
      <c r="AI214" s="30" t="s">
        <v>26</v>
      </c>
      <c r="AJ214" s="13">
        <f t="shared" si="91"/>
        <v>0</v>
      </c>
      <c r="AK214" s="13">
        <f t="shared" si="92"/>
        <v>0</v>
      </c>
      <c r="AL214" s="13">
        <f t="shared" si="93"/>
        <v>0</v>
      </c>
      <c r="AN214" s="13">
        <v>21</v>
      </c>
      <c r="AO214" s="13">
        <f>H214*0</f>
        <v>0</v>
      </c>
      <c r="AP214" s="13">
        <f>H214*(1-0)</f>
        <v>0</v>
      </c>
      <c r="AQ214" s="79" t="s">
        <v>75</v>
      </c>
      <c r="AV214" s="13">
        <f t="shared" si="94"/>
        <v>0</v>
      </c>
      <c r="AW214" s="13">
        <f t="shared" si="95"/>
        <v>0</v>
      </c>
      <c r="AX214" s="13">
        <f t="shared" si="96"/>
        <v>0</v>
      </c>
      <c r="AY214" s="79" t="s">
        <v>853</v>
      </c>
      <c r="AZ214" s="79" t="s">
        <v>854</v>
      </c>
      <c r="BA214" s="30" t="s">
        <v>801</v>
      </c>
      <c r="BC214" s="13">
        <f t="shared" si="97"/>
        <v>0</v>
      </c>
      <c r="BD214" s="13">
        <f t="shared" si="98"/>
        <v>0</v>
      </c>
      <c r="BE214" s="13">
        <v>0</v>
      </c>
      <c r="BF214" s="13">
        <f>214</f>
        <v>214</v>
      </c>
      <c r="BH214" s="13">
        <f t="shared" si="99"/>
        <v>0</v>
      </c>
      <c r="BI214" s="13">
        <f t="shared" si="100"/>
        <v>0</v>
      </c>
      <c r="BJ214" s="13">
        <f t="shared" si="101"/>
        <v>0</v>
      </c>
      <c r="BK214" s="13"/>
      <c r="BL214" s="13">
        <v>781</v>
      </c>
      <c r="BW214" s="13">
        <v>21</v>
      </c>
    </row>
    <row r="215" spans="1:75" ht="13.5" customHeight="1" x14ac:dyDescent="0.25">
      <c r="A215" s="1" t="s">
        <v>539</v>
      </c>
      <c r="B215" s="2" t="s">
        <v>26</v>
      </c>
      <c r="C215" s="2" t="s">
        <v>540</v>
      </c>
      <c r="D215" s="95" t="s">
        <v>541</v>
      </c>
      <c r="E215" s="88"/>
      <c r="F215" s="2" t="s">
        <v>91</v>
      </c>
      <c r="G215" s="13">
        <v>80.84</v>
      </c>
      <c r="H215" s="78">
        <v>0</v>
      </c>
      <c r="I215" s="13">
        <f t="shared" si="82"/>
        <v>0</v>
      </c>
      <c r="K215" s="34"/>
      <c r="Z215" s="13">
        <f t="shared" si="83"/>
        <v>0</v>
      </c>
      <c r="AB215" s="13">
        <f t="shared" si="84"/>
        <v>0</v>
      </c>
      <c r="AC215" s="13">
        <f t="shared" si="85"/>
        <v>0</v>
      </c>
      <c r="AD215" s="13">
        <f t="shared" si="86"/>
        <v>0</v>
      </c>
      <c r="AE215" s="13">
        <f t="shared" si="87"/>
        <v>0</v>
      </c>
      <c r="AF215" s="13">
        <f t="shared" si="88"/>
        <v>0</v>
      </c>
      <c r="AG215" s="13">
        <f t="shared" si="89"/>
        <v>0</v>
      </c>
      <c r="AH215" s="13">
        <f t="shared" si="90"/>
        <v>0</v>
      </c>
      <c r="AI215" s="30" t="s">
        <v>26</v>
      </c>
      <c r="AJ215" s="13">
        <f t="shared" si="91"/>
        <v>0</v>
      </c>
      <c r="AK215" s="13">
        <f t="shared" si="92"/>
        <v>0</v>
      </c>
      <c r="AL215" s="13">
        <f t="shared" si="93"/>
        <v>0</v>
      </c>
      <c r="AN215" s="13">
        <v>21</v>
      </c>
      <c r="AO215" s="13">
        <f>H215*1.000010381</f>
        <v>0</v>
      </c>
      <c r="AP215" s="13">
        <f>H215*(1-1.000010381)</f>
        <v>0</v>
      </c>
      <c r="AQ215" s="79" t="s">
        <v>75</v>
      </c>
      <c r="AV215" s="13">
        <f t="shared" si="94"/>
        <v>0</v>
      </c>
      <c r="AW215" s="13">
        <f t="shared" si="95"/>
        <v>0</v>
      </c>
      <c r="AX215" s="13">
        <f t="shared" si="96"/>
        <v>0</v>
      </c>
      <c r="AY215" s="79" t="s">
        <v>853</v>
      </c>
      <c r="AZ215" s="79" t="s">
        <v>854</v>
      </c>
      <c r="BA215" s="30" t="s">
        <v>801</v>
      </c>
      <c r="BC215" s="13">
        <f t="shared" si="97"/>
        <v>0</v>
      </c>
      <c r="BD215" s="13">
        <f t="shared" si="98"/>
        <v>0</v>
      </c>
      <c r="BE215" s="13">
        <v>0</v>
      </c>
      <c r="BF215" s="13">
        <f>215</f>
        <v>215</v>
      </c>
      <c r="BH215" s="13">
        <f t="shared" si="99"/>
        <v>0</v>
      </c>
      <c r="BI215" s="13">
        <f t="shared" si="100"/>
        <v>0</v>
      </c>
      <c r="BJ215" s="13">
        <f t="shared" si="101"/>
        <v>0</v>
      </c>
      <c r="BK215" s="13"/>
      <c r="BL215" s="13">
        <v>781</v>
      </c>
      <c r="BW215" s="13">
        <v>21</v>
      </c>
    </row>
    <row r="216" spans="1:75" ht="13.5" customHeight="1" x14ac:dyDescent="0.25">
      <c r="A216" s="1" t="s">
        <v>542</v>
      </c>
      <c r="B216" s="2" t="s">
        <v>26</v>
      </c>
      <c r="C216" s="2" t="s">
        <v>543</v>
      </c>
      <c r="D216" s="95" t="s">
        <v>544</v>
      </c>
      <c r="E216" s="88"/>
      <c r="F216" s="2" t="s">
        <v>127</v>
      </c>
      <c r="G216" s="13">
        <v>58.8</v>
      </c>
      <c r="H216" s="78">
        <v>0</v>
      </c>
      <c r="I216" s="13">
        <f t="shared" si="82"/>
        <v>0</v>
      </c>
      <c r="K216" s="34"/>
      <c r="Z216" s="13">
        <f t="shared" si="83"/>
        <v>0</v>
      </c>
      <c r="AB216" s="13">
        <f t="shared" si="84"/>
        <v>0</v>
      </c>
      <c r="AC216" s="13">
        <f t="shared" si="85"/>
        <v>0</v>
      </c>
      <c r="AD216" s="13">
        <f t="shared" si="86"/>
        <v>0</v>
      </c>
      <c r="AE216" s="13">
        <f t="shared" si="87"/>
        <v>0</v>
      </c>
      <c r="AF216" s="13">
        <f t="shared" si="88"/>
        <v>0</v>
      </c>
      <c r="AG216" s="13">
        <f t="shared" si="89"/>
        <v>0</v>
      </c>
      <c r="AH216" s="13">
        <f t="shared" si="90"/>
        <v>0</v>
      </c>
      <c r="AI216" s="30" t="s">
        <v>26</v>
      </c>
      <c r="AJ216" s="13">
        <f t="shared" si="91"/>
        <v>0</v>
      </c>
      <c r="AK216" s="13">
        <f t="shared" si="92"/>
        <v>0</v>
      </c>
      <c r="AL216" s="13">
        <f t="shared" si="93"/>
        <v>0</v>
      </c>
      <c r="AN216" s="13">
        <v>21</v>
      </c>
      <c r="AO216" s="13">
        <f>H216*0</f>
        <v>0</v>
      </c>
      <c r="AP216" s="13">
        <f>H216*(1-0)</f>
        <v>0</v>
      </c>
      <c r="AQ216" s="79" t="s">
        <v>75</v>
      </c>
      <c r="AV216" s="13">
        <f t="shared" si="94"/>
        <v>0</v>
      </c>
      <c r="AW216" s="13">
        <f t="shared" si="95"/>
        <v>0</v>
      </c>
      <c r="AX216" s="13">
        <f t="shared" si="96"/>
        <v>0</v>
      </c>
      <c r="AY216" s="79" t="s">
        <v>853</v>
      </c>
      <c r="AZ216" s="79" t="s">
        <v>854</v>
      </c>
      <c r="BA216" s="30" t="s">
        <v>801</v>
      </c>
      <c r="BC216" s="13">
        <f t="shared" si="97"/>
        <v>0</v>
      </c>
      <c r="BD216" s="13">
        <f t="shared" si="98"/>
        <v>0</v>
      </c>
      <c r="BE216" s="13">
        <v>0</v>
      </c>
      <c r="BF216" s="13">
        <f>216</f>
        <v>216</v>
      </c>
      <c r="BH216" s="13">
        <f t="shared" si="99"/>
        <v>0</v>
      </c>
      <c r="BI216" s="13">
        <f t="shared" si="100"/>
        <v>0</v>
      </c>
      <c r="BJ216" s="13">
        <f t="shared" si="101"/>
        <v>0</v>
      </c>
      <c r="BK216" s="13"/>
      <c r="BL216" s="13">
        <v>781</v>
      </c>
      <c r="BW216" s="13">
        <v>21</v>
      </c>
    </row>
    <row r="217" spans="1:75" ht="13.5" customHeight="1" x14ac:dyDescent="0.25">
      <c r="A217" s="32"/>
      <c r="C217" s="80" t="s">
        <v>802</v>
      </c>
      <c r="D217" s="113" t="s">
        <v>855</v>
      </c>
      <c r="E217" s="114"/>
      <c r="F217" s="114"/>
      <c r="G217" s="114"/>
      <c r="H217" s="184"/>
      <c r="I217" s="114"/>
      <c r="J217" s="114"/>
      <c r="K217" s="185"/>
    </row>
    <row r="218" spans="1:75" ht="13.5" customHeight="1" x14ac:dyDescent="0.25">
      <c r="A218" s="1" t="s">
        <v>546</v>
      </c>
      <c r="B218" s="2" t="s">
        <v>26</v>
      </c>
      <c r="C218" s="2" t="s">
        <v>547</v>
      </c>
      <c r="D218" s="95" t="s">
        <v>548</v>
      </c>
      <c r="E218" s="88"/>
      <c r="F218" s="2" t="s">
        <v>127</v>
      </c>
      <c r="G218" s="13">
        <v>60</v>
      </c>
      <c r="H218" s="78">
        <v>0</v>
      </c>
      <c r="I218" s="13">
        <f>G218*H218</f>
        <v>0</v>
      </c>
      <c r="K218" s="34"/>
      <c r="Z218" s="13">
        <f>IF(AQ218="5",BJ218,0)</f>
        <v>0</v>
      </c>
      <c r="AB218" s="13">
        <f>IF(AQ218="1",BH218,0)</f>
        <v>0</v>
      </c>
      <c r="AC218" s="13">
        <f>IF(AQ218="1",BI218,0)</f>
        <v>0</v>
      </c>
      <c r="AD218" s="13">
        <f>IF(AQ218="7",BH218,0)</f>
        <v>0</v>
      </c>
      <c r="AE218" s="13">
        <f>IF(AQ218="7",BI218,0)</f>
        <v>0</v>
      </c>
      <c r="AF218" s="13">
        <f>IF(AQ218="2",BH218,0)</f>
        <v>0</v>
      </c>
      <c r="AG218" s="13">
        <f>IF(AQ218="2",BI218,0)</f>
        <v>0</v>
      </c>
      <c r="AH218" s="13">
        <f>IF(AQ218="0",BJ218,0)</f>
        <v>0</v>
      </c>
      <c r="AI218" s="30" t="s">
        <v>26</v>
      </c>
      <c r="AJ218" s="13">
        <f>IF(AN218=0,I218,0)</f>
        <v>0</v>
      </c>
      <c r="AK218" s="13">
        <f>IF(AN218=12,I218,0)</f>
        <v>0</v>
      </c>
      <c r="AL218" s="13">
        <f>IF(AN218=21,I218,0)</f>
        <v>0</v>
      </c>
      <c r="AN218" s="13">
        <v>21</v>
      </c>
      <c r="AO218" s="13">
        <f>H218*0.788056426</f>
        <v>0</v>
      </c>
      <c r="AP218" s="13">
        <f>H218*(1-0.788056426)</f>
        <v>0</v>
      </c>
      <c r="AQ218" s="79" t="s">
        <v>75</v>
      </c>
      <c r="AV218" s="13">
        <f>AW218+AX218</f>
        <v>0</v>
      </c>
      <c r="AW218" s="13">
        <f>G218*AO218</f>
        <v>0</v>
      </c>
      <c r="AX218" s="13">
        <f>G218*AP218</f>
        <v>0</v>
      </c>
      <c r="AY218" s="79" t="s">
        <v>853</v>
      </c>
      <c r="AZ218" s="79" t="s">
        <v>854</v>
      </c>
      <c r="BA218" s="30" t="s">
        <v>801</v>
      </c>
      <c r="BC218" s="13">
        <f>AW218+AX218</f>
        <v>0</v>
      </c>
      <c r="BD218" s="13">
        <f>H218/(100-BE218)*100</f>
        <v>0</v>
      </c>
      <c r="BE218" s="13">
        <v>0</v>
      </c>
      <c r="BF218" s="13">
        <f>218</f>
        <v>218</v>
      </c>
      <c r="BH218" s="13">
        <f>G218*AO218</f>
        <v>0</v>
      </c>
      <c r="BI218" s="13">
        <f>G218*AP218</f>
        <v>0</v>
      </c>
      <c r="BJ218" s="13">
        <f>G218*H218</f>
        <v>0</v>
      </c>
      <c r="BK218" s="13"/>
      <c r="BL218" s="13">
        <v>781</v>
      </c>
      <c r="BW218" s="13">
        <v>21</v>
      </c>
    </row>
    <row r="219" spans="1:75" ht="13.5" customHeight="1" x14ac:dyDescent="0.25">
      <c r="A219" s="32"/>
      <c r="C219" s="80" t="s">
        <v>802</v>
      </c>
      <c r="D219" s="113" t="s">
        <v>856</v>
      </c>
      <c r="E219" s="114"/>
      <c r="F219" s="114"/>
      <c r="G219" s="114"/>
      <c r="H219" s="184"/>
      <c r="I219" s="114"/>
      <c r="J219" s="114"/>
      <c r="K219" s="185"/>
    </row>
    <row r="220" spans="1:75" ht="13.5" customHeight="1" x14ac:dyDescent="0.25">
      <c r="A220" s="1" t="s">
        <v>549</v>
      </c>
      <c r="B220" s="2" t="s">
        <v>26</v>
      </c>
      <c r="C220" s="2" t="s">
        <v>550</v>
      </c>
      <c r="D220" s="95" t="s">
        <v>551</v>
      </c>
      <c r="E220" s="88"/>
      <c r="F220" s="2" t="s">
        <v>127</v>
      </c>
      <c r="G220" s="13">
        <v>4.03</v>
      </c>
      <c r="H220" s="78">
        <v>0</v>
      </c>
      <c r="I220" s="13">
        <f t="shared" ref="I220:I225" si="102">G220*H220</f>
        <v>0</v>
      </c>
      <c r="K220" s="34"/>
      <c r="Z220" s="13">
        <f t="shared" ref="Z220:Z225" si="103">IF(AQ220="5",BJ220,0)</f>
        <v>0</v>
      </c>
      <c r="AB220" s="13">
        <f t="shared" ref="AB220:AB225" si="104">IF(AQ220="1",BH220,0)</f>
        <v>0</v>
      </c>
      <c r="AC220" s="13">
        <f t="shared" ref="AC220:AC225" si="105">IF(AQ220="1",BI220,0)</f>
        <v>0</v>
      </c>
      <c r="AD220" s="13">
        <f t="shared" ref="AD220:AD225" si="106">IF(AQ220="7",BH220,0)</f>
        <v>0</v>
      </c>
      <c r="AE220" s="13">
        <f t="shared" ref="AE220:AE225" si="107">IF(AQ220="7",BI220,0)</f>
        <v>0</v>
      </c>
      <c r="AF220" s="13">
        <f t="shared" ref="AF220:AF225" si="108">IF(AQ220="2",BH220,0)</f>
        <v>0</v>
      </c>
      <c r="AG220" s="13">
        <f t="shared" ref="AG220:AG225" si="109">IF(AQ220="2",BI220,0)</f>
        <v>0</v>
      </c>
      <c r="AH220" s="13">
        <f t="shared" ref="AH220:AH225" si="110">IF(AQ220="0",BJ220,0)</f>
        <v>0</v>
      </c>
      <c r="AI220" s="30" t="s">
        <v>26</v>
      </c>
      <c r="AJ220" s="13">
        <f t="shared" ref="AJ220:AJ225" si="111">IF(AN220=0,I220,0)</f>
        <v>0</v>
      </c>
      <c r="AK220" s="13">
        <f t="shared" ref="AK220:AK225" si="112">IF(AN220=12,I220,0)</f>
        <v>0</v>
      </c>
      <c r="AL220" s="13">
        <f t="shared" ref="AL220:AL225" si="113">IF(AN220=21,I220,0)</f>
        <v>0</v>
      </c>
      <c r="AN220" s="13">
        <v>21</v>
      </c>
      <c r="AO220" s="13">
        <f>H220*0.407411538</f>
        <v>0</v>
      </c>
      <c r="AP220" s="13">
        <f>H220*(1-0.407411538)</f>
        <v>0</v>
      </c>
      <c r="AQ220" s="79" t="s">
        <v>75</v>
      </c>
      <c r="AV220" s="13">
        <f t="shared" ref="AV220:AV225" si="114">AW220+AX220</f>
        <v>0</v>
      </c>
      <c r="AW220" s="13">
        <f t="shared" ref="AW220:AW225" si="115">G220*AO220</f>
        <v>0</v>
      </c>
      <c r="AX220" s="13">
        <f t="shared" ref="AX220:AX225" si="116">G220*AP220</f>
        <v>0</v>
      </c>
      <c r="AY220" s="79" t="s">
        <v>853</v>
      </c>
      <c r="AZ220" s="79" t="s">
        <v>854</v>
      </c>
      <c r="BA220" s="30" t="s">
        <v>801</v>
      </c>
      <c r="BC220" s="13">
        <f t="shared" ref="BC220:BC225" si="117">AW220+AX220</f>
        <v>0</v>
      </c>
      <c r="BD220" s="13">
        <f t="shared" ref="BD220:BD225" si="118">H220/(100-BE220)*100</f>
        <v>0</v>
      </c>
      <c r="BE220" s="13">
        <v>0</v>
      </c>
      <c r="BF220" s="13">
        <f>220</f>
        <v>220</v>
      </c>
      <c r="BH220" s="13">
        <f t="shared" ref="BH220:BH225" si="119">G220*AO220</f>
        <v>0</v>
      </c>
      <c r="BI220" s="13">
        <f t="shared" ref="BI220:BI225" si="120">G220*AP220</f>
        <v>0</v>
      </c>
      <c r="BJ220" s="13">
        <f t="shared" ref="BJ220:BJ225" si="121">G220*H220</f>
        <v>0</v>
      </c>
      <c r="BK220" s="13"/>
      <c r="BL220" s="13">
        <v>781</v>
      </c>
      <c r="BW220" s="13">
        <v>21</v>
      </c>
    </row>
    <row r="221" spans="1:75" ht="13.5" customHeight="1" x14ac:dyDescent="0.25">
      <c r="A221" s="1" t="s">
        <v>553</v>
      </c>
      <c r="B221" s="2" t="s">
        <v>26</v>
      </c>
      <c r="C221" s="2" t="s">
        <v>554</v>
      </c>
      <c r="D221" s="95" t="s">
        <v>555</v>
      </c>
      <c r="E221" s="88"/>
      <c r="F221" s="2" t="s">
        <v>91</v>
      </c>
      <c r="G221" s="13">
        <v>42.246600000000001</v>
      </c>
      <c r="H221" s="78">
        <v>0</v>
      </c>
      <c r="I221" s="13">
        <f t="shared" si="102"/>
        <v>0</v>
      </c>
      <c r="K221" s="34"/>
      <c r="Z221" s="13">
        <f t="shared" si="103"/>
        <v>0</v>
      </c>
      <c r="AB221" s="13">
        <f t="shared" si="104"/>
        <v>0</v>
      </c>
      <c r="AC221" s="13">
        <f t="shared" si="105"/>
        <v>0</v>
      </c>
      <c r="AD221" s="13">
        <f t="shared" si="106"/>
        <v>0</v>
      </c>
      <c r="AE221" s="13">
        <f t="shared" si="107"/>
        <v>0</v>
      </c>
      <c r="AF221" s="13">
        <f t="shared" si="108"/>
        <v>0</v>
      </c>
      <c r="AG221" s="13">
        <f t="shared" si="109"/>
        <v>0</v>
      </c>
      <c r="AH221" s="13">
        <f t="shared" si="110"/>
        <v>0</v>
      </c>
      <c r="AI221" s="30" t="s">
        <v>26</v>
      </c>
      <c r="AJ221" s="13">
        <f t="shared" si="111"/>
        <v>0</v>
      </c>
      <c r="AK221" s="13">
        <f t="shared" si="112"/>
        <v>0</v>
      </c>
      <c r="AL221" s="13">
        <f t="shared" si="113"/>
        <v>0</v>
      </c>
      <c r="AN221" s="13">
        <v>21</v>
      </c>
      <c r="AO221" s="13">
        <f>H221*1</f>
        <v>0</v>
      </c>
      <c r="AP221" s="13">
        <f>H221*(1-1)</f>
        <v>0</v>
      </c>
      <c r="AQ221" s="79" t="s">
        <v>75</v>
      </c>
      <c r="AV221" s="13">
        <f t="shared" si="114"/>
        <v>0</v>
      </c>
      <c r="AW221" s="13">
        <f t="shared" si="115"/>
        <v>0</v>
      </c>
      <c r="AX221" s="13">
        <f t="shared" si="116"/>
        <v>0</v>
      </c>
      <c r="AY221" s="79" t="s">
        <v>853</v>
      </c>
      <c r="AZ221" s="79" t="s">
        <v>854</v>
      </c>
      <c r="BA221" s="30" t="s">
        <v>801</v>
      </c>
      <c r="BC221" s="13">
        <f t="shared" si="117"/>
        <v>0</v>
      </c>
      <c r="BD221" s="13">
        <f t="shared" si="118"/>
        <v>0</v>
      </c>
      <c r="BE221" s="13">
        <v>0</v>
      </c>
      <c r="BF221" s="13">
        <f>221</f>
        <v>221</v>
      </c>
      <c r="BH221" s="13">
        <f t="shared" si="119"/>
        <v>0</v>
      </c>
      <c r="BI221" s="13">
        <f t="shared" si="120"/>
        <v>0</v>
      </c>
      <c r="BJ221" s="13">
        <f t="shared" si="121"/>
        <v>0</v>
      </c>
      <c r="BK221" s="13"/>
      <c r="BL221" s="13">
        <v>781</v>
      </c>
      <c r="BW221" s="13">
        <v>21</v>
      </c>
    </row>
    <row r="222" spans="1:75" ht="13.5" customHeight="1" x14ac:dyDescent="0.25">
      <c r="A222" s="1" t="s">
        <v>559</v>
      </c>
      <c r="B222" s="2" t="s">
        <v>26</v>
      </c>
      <c r="C222" s="2" t="s">
        <v>554</v>
      </c>
      <c r="D222" s="95" t="s">
        <v>555</v>
      </c>
      <c r="E222" s="88"/>
      <c r="F222" s="2" t="s">
        <v>91</v>
      </c>
      <c r="G222" s="13">
        <v>42.246600000000001</v>
      </c>
      <c r="H222" s="78">
        <v>0</v>
      </c>
      <c r="I222" s="13">
        <f t="shared" si="102"/>
        <v>0</v>
      </c>
      <c r="K222" s="34"/>
      <c r="Z222" s="13">
        <f t="shared" si="103"/>
        <v>0</v>
      </c>
      <c r="AB222" s="13">
        <f t="shared" si="104"/>
        <v>0</v>
      </c>
      <c r="AC222" s="13">
        <f t="shared" si="105"/>
        <v>0</v>
      </c>
      <c r="AD222" s="13">
        <f t="shared" si="106"/>
        <v>0</v>
      </c>
      <c r="AE222" s="13">
        <f t="shared" si="107"/>
        <v>0</v>
      </c>
      <c r="AF222" s="13">
        <f t="shared" si="108"/>
        <v>0</v>
      </c>
      <c r="AG222" s="13">
        <f t="shared" si="109"/>
        <v>0</v>
      </c>
      <c r="AH222" s="13">
        <f t="shared" si="110"/>
        <v>0</v>
      </c>
      <c r="AI222" s="30" t="s">
        <v>26</v>
      </c>
      <c r="AJ222" s="13">
        <f t="shared" si="111"/>
        <v>0</v>
      </c>
      <c r="AK222" s="13">
        <f t="shared" si="112"/>
        <v>0</v>
      </c>
      <c r="AL222" s="13">
        <f t="shared" si="113"/>
        <v>0</v>
      </c>
      <c r="AN222" s="13">
        <v>21</v>
      </c>
      <c r="AO222" s="13">
        <f>H222*1</f>
        <v>0</v>
      </c>
      <c r="AP222" s="13">
        <f>H222*(1-1)</f>
        <v>0</v>
      </c>
      <c r="AQ222" s="79" t="s">
        <v>75</v>
      </c>
      <c r="AV222" s="13">
        <f t="shared" si="114"/>
        <v>0</v>
      </c>
      <c r="AW222" s="13">
        <f t="shared" si="115"/>
        <v>0</v>
      </c>
      <c r="AX222" s="13">
        <f t="shared" si="116"/>
        <v>0</v>
      </c>
      <c r="AY222" s="79" t="s">
        <v>853</v>
      </c>
      <c r="AZ222" s="79" t="s">
        <v>854</v>
      </c>
      <c r="BA222" s="30" t="s">
        <v>801</v>
      </c>
      <c r="BC222" s="13">
        <f t="shared" si="117"/>
        <v>0</v>
      </c>
      <c r="BD222" s="13">
        <f t="shared" si="118"/>
        <v>0</v>
      </c>
      <c r="BE222" s="13">
        <v>0</v>
      </c>
      <c r="BF222" s="13">
        <f>222</f>
        <v>222</v>
      </c>
      <c r="BH222" s="13">
        <f t="shared" si="119"/>
        <v>0</v>
      </c>
      <c r="BI222" s="13">
        <f t="shared" si="120"/>
        <v>0</v>
      </c>
      <c r="BJ222" s="13">
        <f t="shared" si="121"/>
        <v>0</v>
      </c>
      <c r="BK222" s="13"/>
      <c r="BL222" s="13">
        <v>781</v>
      </c>
      <c r="BW222" s="13">
        <v>21</v>
      </c>
    </row>
    <row r="223" spans="1:75" ht="13.5" customHeight="1" x14ac:dyDescent="0.25">
      <c r="A223" s="1" t="s">
        <v>560</v>
      </c>
      <c r="B223" s="2" t="s">
        <v>26</v>
      </c>
      <c r="C223" s="2" t="s">
        <v>561</v>
      </c>
      <c r="D223" s="95" t="s">
        <v>562</v>
      </c>
      <c r="E223" s="88"/>
      <c r="F223" s="2" t="s">
        <v>107</v>
      </c>
      <c r="G223" s="13">
        <v>6.7679999999999998</v>
      </c>
      <c r="H223" s="78">
        <v>0</v>
      </c>
      <c r="I223" s="13">
        <f t="shared" si="102"/>
        <v>0</v>
      </c>
      <c r="K223" s="34"/>
      <c r="Z223" s="13">
        <f t="shared" si="103"/>
        <v>0</v>
      </c>
      <c r="AB223" s="13">
        <f t="shared" si="104"/>
        <v>0</v>
      </c>
      <c r="AC223" s="13">
        <f t="shared" si="105"/>
        <v>0</v>
      </c>
      <c r="AD223" s="13">
        <f t="shared" si="106"/>
        <v>0</v>
      </c>
      <c r="AE223" s="13">
        <f t="shared" si="107"/>
        <v>0</v>
      </c>
      <c r="AF223" s="13">
        <f t="shared" si="108"/>
        <v>0</v>
      </c>
      <c r="AG223" s="13">
        <f t="shared" si="109"/>
        <v>0</v>
      </c>
      <c r="AH223" s="13">
        <f t="shared" si="110"/>
        <v>0</v>
      </c>
      <c r="AI223" s="30" t="s">
        <v>26</v>
      </c>
      <c r="AJ223" s="13">
        <f t="shared" si="111"/>
        <v>0</v>
      </c>
      <c r="AK223" s="13">
        <f t="shared" si="112"/>
        <v>0</v>
      </c>
      <c r="AL223" s="13">
        <f t="shared" si="113"/>
        <v>0</v>
      </c>
      <c r="AN223" s="13">
        <v>21</v>
      </c>
      <c r="AO223" s="13">
        <f>H223*1</f>
        <v>0</v>
      </c>
      <c r="AP223" s="13">
        <f>H223*(1-1)</f>
        <v>0</v>
      </c>
      <c r="AQ223" s="79" t="s">
        <v>75</v>
      </c>
      <c r="AV223" s="13">
        <f t="shared" si="114"/>
        <v>0</v>
      </c>
      <c r="AW223" s="13">
        <f t="shared" si="115"/>
        <v>0</v>
      </c>
      <c r="AX223" s="13">
        <f t="shared" si="116"/>
        <v>0</v>
      </c>
      <c r="AY223" s="79" t="s">
        <v>853</v>
      </c>
      <c r="AZ223" s="79" t="s">
        <v>854</v>
      </c>
      <c r="BA223" s="30" t="s">
        <v>801</v>
      </c>
      <c r="BC223" s="13">
        <f t="shared" si="117"/>
        <v>0</v>
      </c>
      <c r="BD223" s="13">
        <f t="shared" si="118"/>
        <v>0</v>
      </c>
      <c r="BE223" s="13">
        <v>0</v>
      </c>
      <c r="BF223" s="13">
        <f>223</f>
        <v>223</v>
      </c>
      <c r="BH223" s="13">
        <f t="shared" si="119"/>
        <v>0</v>
      </c>
      <c r="BI223" s="13">
        <f t="shared" si="120"/>
        <v>0</v>
      </c>
      <c r="BJ223" s="13">
        <f t="shared" si="121"/>
        <v>0</v>
      </c>
      <c r="BK223" s="13"/>
      <c r="BL223" s="13">
        <v>781</v>
      </c>
      <c r="BW223" s="13">
        <v>21</v>
      </c>
    </row>
    <row r="224" spans="1:75" ht="13.5" customHeight="1" x14ac:dyDescent="0.25">
      <c r="A224" s="1" t="s">
        <v>564</v>
      </c>
      <c r="B224" s="2" t="s">
        <v>26</v>
      </c>
      <c r="C224" s="2" t="s">
        <v>565</v>
      </c>
      <c r="D224" s="95" t="s">
        <v>566</v>
      </c>
      <c r="E224" s="88"/>
      <c r="F224" s="2" t="s">
        <v>61</v>
      </c>
      <c r="G224" s="13">
        <v>1</v>
      </c>
      <c r="H224" s="78">
        <v>0</v>
      </c>
      <c r="I224" s="13">
        <f t="shared" si="102"/>
        <v>0</v>
      </c>
      <c r="K224" s="34"/>
      <c r="Z224" s="13">
        <f t="shared" si="103"/>
        <v>0</v>
      </c>
      <c r="AB224" s="13">
        <f t="shared" si="104"/>
        <v>0</v>
      </c>
      <c r="AC224" s="13">
        <f t="shared" si="105"/>
        <v>0</v>
      </c>
      <c r="AD224" s="13">
        <f t="shared" si="106"/>
        <v>0</v>
      </c>
      <c r="AE224" s="13">
        <f t="shared" si="107"/>
        <v>0</v>
      </c>
      <c r="AF224" s="13">
        <f t="shared" si="108"/>
        <v>0</v>
      </c>
      <c r="AG224" s="13">
        <f t="shared" si="109"/>
        <v>0</v>
      </c>
      <c r="AH224" s="13">
        <f t="shared" si="110"/>
        <v>0</v>
      </c>
      <c r="AI224" s="30" t="s">
        <v>26</v>
      </c>
      <c r="AJ224" s="13">
        <f t="shared" si="111"/>
        <v>0</v>
      </c>
      <c r="AK224" s="13">
        <f t="shared" si="112"/>
        <v>0</v>
      </c>
      <c r="AL224" s="13">
        <f t="shared" si="113"/>
        <v>0</v>
      </c>
      <c r="AN224" s="13">
        <v>21</v>
      </c>
      <c r="AO224" s="13">
        <f>H224*1</f>
        <v>0</v>
      </c>
      <c r="AP224" s="13">
        <f>H224*(1-1)</f>
        <v>0</v>
      </c>
      <c r="AQ224" s="79" t="s">
        <v>75</v>
      </c>
      <c r="AV224" s="13">
        <f t="shared" si="114"/>
        <v>0</v>
      </c>
      <c r="AW224" s="13">
        <f t="shared" si="115"/>
        <v>0</v>
      </c>
      <c r="AX224" s="13">
        <f t="shared" si="116"/>
        <v>0</v>
      </c>
      <c r="AY224" s="79" t="s">
        <v>853</v>
      </c>
      <c r="AZ224" s="79" t="s">
        <v>854</v>
      </c>
      <c r="BA224" s="30" t="s">
        <v>801</v>
      </c>
      <c r="BC224" s="13">
        <f t="shared" si="117"/>
        <v>0</v>
      </c>
      <c r="BD224" s="13">
        <f t="shared" si="118"/>
        <v>0</v>
      </c>
      <c r="BE224" s="13">
        <v>0</v>
      </c>
      <c r="BF224" s="13">
        <f>224</f>
        <v>224</v>
      </c>
      <c r="BH224" s="13">
        <f t="shared" si="119"/>
        <v>0</v>
      </c>
      <c r="BI224" s="13">
        <f t="shared" si="120"/>
        <v>0</v>
      </c>
      <c r="BJ224" s="13">
        <f t="shared" si="121"/>
        <v>0</v>
      </c>
      <c r="BK224" s="13"/>
      <c r="BL224" s="13">
        <v>781</v>
      </c>
      <c r="BW224" s="13">
        <v>21</v>
      </c>
    </row>
    <row r="225" spans="1:75" ht="13.5" customHeight="1" x14ac:dyDescent="0.25">
      <c r="A225" s="1" t="s">
        <v>567</v>
      </c>
      <c r="B225" s="2" t="s">
        <v>26</v>
      </c>
      <c r="C225" s="2" t="s">
        <v>568</v>
      </c>
      <c r="D225" s="95" t="s">
        <v>569</v>
      </c>
      <c r="E225" s="88"/>
      <c r="F225" s="2" t="s">
        <v>127</v>
      </c>
      <c r="G225" s="13">
        <v>37.6</v>
      </c>
      <c r="H225" s="78">
        <v>0</v>
      </c>
      <c r="I225" s="13">
        <f t="shared" si="102"/>
        <v>0</v>
      </c>
      <c r="K225" s="34"/>
      <c r="Z225" s="13">
        <f t="shared" si="103"/>
        <v>0</v>
      </c>
      <c r="AB225" s="13">
        <f t="shared" si="104"/>
        <v>0</v>
      </c>
      <c r="AC225" s="13">
        <f t="shared" si="105"/>
        <v>0</v>
      </c>
      <c r="AD225" s="13">
        <f t="shared" si="106"/>
        <v>0</v>
      </c>
      <c r="AE225" s="13">
        <f t="shared" si="107"/>
        <v>0</v>
      </c>
      <c r="AF225" s="13">
        <f t="shared" si="108"/>
        <v>0</v>
      </c>
      <c r="AG225" s="13">
        <f t="shared" si="109"/>
        <v>0</v>
      </c>
      <c r="AH225" s="13">
        <f t="shared" si="110"/>
        <v>0</v>
      </c>
      <c r="AI225" s="30" t="s">
        <v>26</v>
      </c>
      <c r="AJ225" s="13">
        <f t="shared" si="111"/>
        <v>0</v>
      </c>
      <c r="AK225" s="13">
        <f t="shared" si="112"/>
        <v>0</v>
      </c>
      <c r="AL225" s="13">
        <f t="shared" si="113"/>
        <v>0</v>
      </c>
      <c r="AN225" s="13">
        <v>21</v>
      </c>
      <c r="AO225" s="13">
        <f>H225*0</f>
        <v>0</v>
      </c>
      <c r="AP225" s="13">
        <f>H225*(1-0)</f>
        <v>0</v>
      </c>
      <c r="AQ225" s="79" t="s">
        <v>75</v>
      </c>
      <c r="AV225" s="13">
        <f t="shared" si="114"/>
        <v>0</v>
      </c>
      <c r="AW225" s="13">
        <f t="shared" si="115"/>
        <v>0</v>
      </c>
      <c r="AX225" s="13">
        <f t="shared" si="116"/>
        <v>0</v>
      </c>
      <c r="AY225" s="79" t="s">
        <v>853</v>
      </c>
      <c r="AZ225" s="79" t="s">
        <v>854</v>
      </c>
      <c r="BA225" s="30" t="s">
        <v>801</v>
      </c>
      <c r="BC225" s="13">
        <f t="shared" si="117"/>
        <v>0</v>
      </c>
      <c r="BD225" s="13">
        <f t="shared" si="118"/>
        <v>0</v>
      </c>
      <c r="BE225" s="13">
        <v>0</v>
      </c>
      <c r="BF225" s="13">
        <f>225</f>
        <v>225</v>
      </c>
      <c r="BH225" s="13">
        <f t="shared" si="119"/>
        <v>0</v>
      </c>
      <c r="BI225" s="13">
        <f t="shared" si="120"/>
        <v>0</v>
      </c>
      <c r="BJ225" s="13">
        <f t="shared" si="121"/>
        <v>0</v>
      </c>
      <c r="BK225" s="13"/>
      <c r="BL225" s="13">
        <v>781</v>
      </c>
      <c r="BW225" s="13">
        <v>21</v>
      </c>
    </row>
    <row r="226" spans="1:75" ht="13.5" customHeight="1" x14ac:dyDescent="0.25">
      <c r="A226" s="32"/>
      <c r="C226" s="80" t="s">
        <v>49</v>
      </c>
      <c r="D226" s="113" t="s">
        <v>175</v>
      </c>
      <c r="E226" s="114"/>
      <c r="F226" s="114"/>
      <c r="G226" s="114"/>
      <c r="H226" s="184"/>
      <c r="I226" s="114"/>
      <c r="J226" s="114"/>
      <c r="K226" s="185"/>
    </row>
    <row r="227" spans="1:75" ht="13.5" customHeight="1" x14ac:dyDescent="0.25">
      <c r="A227" s="1" t="s">
        <v>570</v>
      </c>
      <c r="B227" s="2" t="s">
        <v>26</v>
      </c>
      <c r="C227" s="2" t="s">
        <v>571</v>
      </c>
      <c r="D227" s="95" t="s">
        <v>572</v>
      </c>
      <c r="E227" s="88"/>
      <c r="F227" s="2" t="s">
        <v>231</v>
      </c>
      <c r="G227" s="13">
        <v>2259.42</v>
      </c>
      <c r="H227" s="78">
        <v>0</v>
      </c>
      <c r="I227" s="13">
        <f>G227*H227</f>
        <v>0</v>
      </c>
      <c r="K227" s="34"/>
      <c r="Z227" s="13">
        <f>IF(AQ227="5",BJ227,0)</f>
        <v>0</v>
      </c>
      <c r="AB227" s="13">
        <f>IF(AQ227="1",BH227,0)</f>
        <v>0</v>
      </c>
      <c r="AC227" s="13">
        <f>IF(AQ227="1",BI227,0)</f>
        <v>0</v>
      </c>
      <c r="AD227" s="13">
        <f>IF(AQ227="7",BH227,0)</f>
        <v>0</v>
      </c>
      <c r="AE227" s="13">
        <f>IF(AQ227="7",BI227,0)</f>
        <v>0</v>
      </c>
      <c r="AF227" s="13">
        <f>IF(AQ227="2",BH227,0)</f>
        <v>0</v>
      </c>
      <c r="AG227" s="13">
        <f>IF(AQ227="2",BI227,0)</f>
        <v>0</v>
      </c>
      <c r="AH227" s="13">
        <f>IF(AQ227="0",BJ227,0)</f>
        <v>0</v>
      </c>
      <c r="AI227" s="30" t="s">
        <v>26</v>
      </c>
      <c r="AJ227" s="13">
        <f>IF(AN227=0,I227,0)</f>
        <v>0</v>
      </c>
      <c r="AK227" s="13">
        <f>IF(AN227=12,I227,0)</f>
        <v>0</v>
      </c>
      <c r="AL227" s="13">
        <f>IF(AN227=21,I227,0)</f>
        <v>0</v>
      </c>
      <c r="AN227" s="13">
        <v>21</v>
      </c>
      <c r="AO227" s="13">
        <f>H227*0</f>
        <v>0</v>
      </c>
      <c r="AP227" s="13">
        <f>H227*(1-0)</f>
        <v>0</v>
      </c>
      <c r="AQ227" s="79" t="s">
        <v>70</v>
      </c>
      <c r="AV227" s="13">
        <f>AW227+AX227</f>
        <v>0</v>
      </c>
      <c r="AW227" s="13">
        <f>G227*AO227</f>
        <v>0</v>
      </c>
      <c r="AX227" s="13">
        <f>G227*AP227</f>
        <v>0</v>
      </c>
      <c r="AY227" s="79" t="s">
        <v>853</v>
      </c>
      <c r="AZ227" s="79" t="s">
        <v>854</v>
      </c>
      <c r="BA227" s="30" t="s">
        <v>801</v>
      </c>
      <c r="BC227" s="13">
        <f>AW227+AX227</f>
        <v>0</v>
      </c>
      <c r="BD227" s="13">
        <f>H227/(100-BE227)*100</f>
        <v>0</v>
      </c>
      <c r="BE227" s="13">
        <v>0</v>
      </c>
      <c r="BF227" s="13">
        <f>227</f>
        <v>227</v>
      </c>
      <c r="BH227" s="13">
        <f>G227*AO227</f>
        <v>0</v>
      </c>
      <c r="BI227" s="13">
        <f>G227*AP227</f>
        <v>0</v>
      </c>
      <c r="BJ227" s="13">
        <f>G227*H227</f>
        <v>0</v>
      </c>
      <c r="BK227" s="13"/>
      <c r="BL227" s="13">
        <v>781</v>
      </c>
      <c r="BW227" s="13">
        <v>21</v>
      </c>
    </row>
    <row r="228" spans="1:75" x14ac:dyDescent="0.25">
      <c r="A228" s="75" t="s">
        <v>20</v>
      </c>
      <c r="B228" s="29" t="s">
        <v>26</v>
      </c>
      <c r="C228" s="29" t="s">
        <v>573</v>
      </c>
      <c r="D228" s="183" t="s">
        <v>574</v>
      </c>
      <c r="E228" s="112"/>
      <c r="F228" s="76" t="s">
        <v>13</v>
      </c>
      <c r="G228" s="76" t="s">
        <v>13</v>
      </c>
      <c r="H228" s="77" t="s">
        <v>13</v>
      </c>
      <c r="I228" s="61">
        <f>SUM(I229:I229)</f>
        <v>0</v>
      </c>
      <c r="K228" s="34"/>
      <c r="AI228" s="30" t="s">
        <v>26</v>
      </c>
      <c r="AS228" s="61">
        <f>SUM(AJ229:AJ229)</f>
        <v>0</v>
      </c>
      <c r="AT228" s="61">
        <f>SUM(AK229:AK229)</f>
        <v>0</v>
      </c>
      <c r="AU228" s="61">
        <f>SUM(AL229:AL229)</f>
        <v>0</v>
      </c>
    </row>
    <row r="229" spans="1:75" ht="13.5" customHeight="1" x14ac:dyDescent="0.25">
      <c r="A229" s="1" t="s">
        <v>575</v>
      </c>
      <c r="B229" s="2" t="s">
        <v>26</v>
      </c>
      <c r="C229" s="2" t="s">
        <v>576</v>
      </c>
      <c r="D229" s="95" t="s">
        <v>577</v>
      </c>
      <c r="E229" s="88"/>
      <c r="F229" s="2" t="s">
        <v>61</v>
      </c>
      <c r="G229" s="13">
        <v>4</v>
      </c>
      <c r="H229" s="78">
        <v>0</v>
      </c>
      <c r="I229" s="13">
        <f>G229*H229</f>
        <v>0</v>
      </c>
      <c r="K229" s="34"/>
      <c r="Z229" s="13">
        <f>IF(AQ229="5",BJ229,0)</f>
        <v>0</v>
      </c>
      <c r="AB229" s="13">
        <f>IF(AQ229="1",BH229,0)</f>
        <v>0</v>
      </c>
      <c r="AC229" s="13">
        <f>IF(AQ229="1",BI229,0)</f>
        <v>0</v>
      </c>
      <c r="AD229" s="13">
        <f>IF(AQ229="7",BH229,0)</f>
        <v>0</v>
      </c>
      <c r="AE229" s="13">
        <f>IF(AQ229="7",BI229,0)</f>
        <v>0</v>
      </c>
      <c r="AF229" s="13">
        <f>IF(AQ229="2",BH229,0)</f>
        <v>0</v>
      </c>
      <c r="AG229" s="13">
        <f>IF(AQ229="2",BI229,0)</f>
        <v>0</v>
      </c>
      <c r="AH229" s="13">
        <f>IF(AQ229="0",BJ229,0)</f>
        <v>0</v>
      </c>
      <c r="AI229" s="30" t="s">
        <v>26</v>
      </c>
      <c r="AJ229" s="13">
        <f>IF(AN229=0,I229,0)</f>
        <v>0</v>
      </c>
      <c r="AK229" s="13">
        <f>IF(AN229=12,I229,0)</f>
        <v>0</v>
      </c>
      <c r="AL229" s="13">
        <f>IF(AN229=21,I229,0)</f>
        <v>0</v>
      </c>
      <c r="AN229" s="13">
        <v>21</v>
      </c>
      <c r="AO229" s="13">
        <f>H229*0.171273333</f>
        <v>0</v>
      </c>
      <c r="AP229" s="13">
        <f>H229*(1-0.171273333)</f>
        <v>0</v>
      </c>
      <c r="AQ229" s="79" t="s">
        <v>75</v>
      </c>
      <c r="AV229" s="13">
        <f>AW229+AX229</f>
        <v>0</v>
      </c>
      <c r="AW229" s="13">
        <f>G229*AO229</f>
        <v>0</v>
      </c>
      <c r="AX229" s="13">
        <f>G229*AP229</f>
        <v>0</v>
      </c>
      <c r="AY229" s="79" t="s">
        <v>857</v>
      </c>
      <c r="AZ229" s="79" t="s">
        <v>854</v>
      </c>
      <c r="BA229" s="30" t="s">
        <v>801</v>
      </c>
      <c r="BC229" s="13">
        <f>AW229+AX229</f>
        <v>0</v>
      </c>
      <c r="BD229" s="13">
        <f>H229/(100-BE229)*100</f>
        <v>0</v>
      </c>
      <c r="BE229" s="13">
        <v>0</v>
      </c>
      <c r="BF229" s="13">
        <f>229</f>
        <v>229</v>
      </c>
      <c r="BH229" s="13">
        <f>G229*AO229</f>
        <v>0</v>
      </c>
      <c r="BI229" s="13">
        <f>G229*AP229</f>
        <v>0</v>
      </c>
      <c r="BJ229" s="13">
        <f>G229*H229</f>
        <v>0</v>
      </c>
      <c r="BK229" s="13"/>
      <c r="BL229" s="13">
        <v>783</v>
      </c>
      <c r="BW229" s="13">
        <v>21</v>
      </c>
    </row>
    <row r="230" spans="1:75" ht="13.5" customHeight="1" x14ac:dyDescent="0.25">
      <c r="A230" s="32"/>
      <c r="C230" s="80" t="s">
        <v>49</v>
      </c>
      <c r="D230" s="113" t="s">
        <v>175</v>
      </c>
      <c r="E230" s="114"/>
      <c r="F230" s="114"/>
      <c r="G230" s="114"/>
      <c r="H230" s="184"/>
      <c r="I230" s="114"/>
      <c r="J230" s="114"/>
      <c r="K230" s="185"/>
    </row>
    <row r="231" spans="1:75" x14ac:dyDescent="0.25">
      <c r="A231" s="75" t="s">
        <v>20</v>
      </c>
      <c r="B231" s="29" t="s">
        <v>26</v>
      </c>
      <c r="C231" s="29" t="s">
        <v>578</v>
      </c>
      <c r="D231" s="183" t="s">
        <v>579</v>
      </c>
      <c r="E231" s="112"/>
      <c r="F231" s="76" t="s">
        <v>13</v>
      </c>
      <c r="G231" s="76" t="s">
        <v>13</v>
      </c>
      <c r="H231" s="77" t="s">
        <v>13</v>
      </c>
      <c r="I231" s="61">
        <f>SUM(I232:I233)</f>
        <v>0</v>
      </c>
      <c r="K231" s="34"/>
      <c r="AI231" s="30" t="s">
        <v>26</v>
      </c>
      <c r="AS231" s="61">
        <f>SUM(AJ232:AJ233)</f>
        <v>0</v>
      </c>
      <c r="AT231" s="61">
        <f>SUM(AK232:AK233)</f>
        <v>0</v>
      </c>
      <c r="AU231" s="61">
        <f>SUM(AL232:AL233)</f>
        <v>0</v>
      </c>
    </row>
    <row r="232" spans="1:75" ht="13.5" customHeight="1" x14ac:dyDescent="0.25">
      <c r="A232" s="1" t="s">
        <v>580</v>
      </c>
      <c r="B232" s="2" t="s">
        <v>26</v>
      </c>
      <c r="C232" s="2" t="s">
        <v>581</v>
      </c>
      <c r="D232" s="95" t="s">
        <v>582</v>
      </c>
      <c r="E232" s="88"/>
      <c r="F232" s="2" t="s">
        <v>91</v>
      </c>
      <c r="G232" s="13">
        <v>223.40299999999999</v>
      </c>
      <c r="H232" s="78">
        <v>0</v>
      </c>
      <c r="I232" s="13">
        <f>G232*H232</f>
        <v>0</v>
      </c>
      <c r="K232" s="34"/>
      <c r="Z232" s="13">
        <f>IF(AQ232="5",BJ232,0)</f>
        <v>0</v>
      </c>
      <c r="AB232" s="13">
        <f>IF(AQ232="1",BH232,0)</f>
        <v>0</v>
      </c>
      <c r="AC232" s="13">
        <f>IF(AQ232="1",BI232,0)</f>
        <v>0</v>
      </c>
      <c r="AD232" s="13">
        <f>IF(AQ232="7",BH232,0)</f>
        <v>0</v>
      </c>
      <c r="AE232" s="13">
        <f>IF(AQ232="7",BI232,0)</f>
        <v>0</v>
      </c>
      <c r="AF232" s="13">
        <f>IF(AQ232="2",BH232,0)</f>
        <v>0</v>
      </c>
      <c r="AG232" s="13">
        <f>IF(AQ232="2",BI232,0)</f>
        <v>0</v>
      </c>
      <c r="AH232" s="13">
        <f>IF(AQ232="0",BJ232,0)</f>
        <v>0</v>
      </c>
      <c r="AI232" s="30" t="s">
        <v>26</v>
      </c>
      <c r="AJ232" s="13">
        <f>IF(AN232=0,I232,0)</f>
        <v>0</v>
      </c>
      <c r="AK232" s="13">
        <f>IF(AN232=12,I232,0)</f>
        <v>0</v>
      </c>
      <c r="AL232" s="13">
        <f>IF(AN232=21,I232,0)</f>
        <v>0</v>
      </c>
      <c r="AN232" s="13">
        <v>21</v>
      </c>
      <c r="AO232" s="13">
        <f>H232*0.10436481</f>
        <v>0</v>
      </c>
      <c r="AP232" s="13">
        <f>H232*(1-0.10436481)</f>
        <v>0</v>
      </c>
      <c r="AQ232" s="79" t="s">
        <v>75</v>
      </c>
      <c r="AV232" s="13">
        <f>AW232+AX232</f>
        <v>0</v>
      </c>
      <c r="AW232" s="13">
        <f>G232*AO232</f>
        <v>0</v>
      </c>
      <c r="AX232" s="13">
        <f>G232*AP232</f>
        <v>0</v>
      </c>
      <c r="AY232" s="79" t="s">
        <v>858</v>
      </c>
      <c r="AZ232" s="79" t="s">
        <v>854</v>
      </c>
      <c r="BA232" s="30" t="s">
        <v>801</v>
      </c>
      <c r="BC232" s="13">
        <f>AW232+AX232</f>
        <v>0</v>
      </c>
      <c r="BD232" s="13">
        <f>H232/(100-BE232)*100</f>
        <v>0</v>
      </c>
      <c r="BE232" s="13">
        <v>0</v>
      </c>
      <c r="BF232" s="13">
        <f>232</f>
        <v>232</v>
      </c>
      <c r="BH232" s="13">
        <f>G232*AO232</f>
        <v>0</v>
      </c>
      <c r="BI232" s="13">
        <f>G232*AP232</f>
        <v>0</v>
      </c>
      <c r="BJ232" s="13">
        <f>G232*H232</f>
        <v>0</v>
      </c>
      <c r="BK232" s="13"/>
      <c r="BL232" s="13">
        <v>784</v>
      </c>
      <c r="BW232" s="13">
        <v>21</v>
      </c>
    </row>
    <row r="233" spans="1:75" ht="13.5" customHeight="1" x14ac:dyDescent="0.25">
      <c r="A233" s="1" t="s">
        <v>584</v>
      </c>
      <c r="B233" s="2" t="s">
        <v>26</v>
      </c>
      <c r="C233" s="2" t="s">
        <v>585</v>
      </c>
      <c r="D233" s="95" t="s">
        <v>586</v>
      </c>
      <c r="E233" s="88"/>
      <c r="F233" s="2" t="s">
        <v>91</v>
      </c>
      <c r="G233" s="13">
        <v>223.40299999999999</v>
      </c>
      <c r="H233" s="78">
        <v>0</v>
      </c>
      <c r="I233" s="13">
        <f>G233*H233</f>
        <v>0</v>
      </c>
      <c r="K233" s="34"/>
      <c r="Z233" s="13">
        <f>IF(AQ233="5",BJ233,0)</f>
        <v>0</v>
      </c>
      <c r="AB233" s="13">
        <f>IF(AQ233="1",BH233,0)</f>
        <v>0</v>
      </c>
      <c r="AC233" s="13">
        <f>IF(AQ233="1",BI233,0)</f>
        <v>0</v>
      </c>
      <c r="AD233" s="13">
        <f>IF(AQ233="7",BH233,0)</f>
        <v>0</v>
      </c>
      <c r="AE233" s="13">
        <f>IF(AQ233="7",BI233,0)</f>
        <v>0</v>
      </c>
      <c r="AF233" s="13">
        <f>IF(AQ233="2",BH233,0)</f>
        <v>0</v>
      </c>
      <c r="AG233" s="13">
        <f>IF(AQ233="2",BI233,0)</f>
        <v>0</v>
      </c>
      <c r="AH233" s="13">
        <f>IF(AQ233="0",BJ233,0)</f>
        <v>0</v>
      </c>
      <c r="AI233" s="30" t="s">
        <v>26</v>
      </c>
      <c r="AJ233" s="13">
        <f>IF(AN233=0,I233,0)</f>
        <v>0</v>
      </c>
      <c r="AK233" s="13">
        <f>IF(AN233=12,I233,0)</f>
        <v>0</v>
      </c>
      <c r="AL233" s="13">
        <f>IF(AN233=21,I233,0)</f>
        <v>0</v>
      </c>
      <c r="AN233" s="13">
        <v>21</v>
      </c>
      <c r="AO233" s="13">
        <f>H233*0.289968291</f>
        <v>0</v>
      </c>
      <c r="AP233" s="13">
        <f>H233*(1-0.289968291)</f>
        <v>0</v>
      </c>
      <c r="AQ233" s="79" t="s">
        <v>75</v>
      </c>
      <c r="AV233" s="13">
        <f>AW233+AX233</f>
        <v>0</v>
      </c>
      <c r="AW233" s="13">
        <f>G233*AO233</f>
        <v>0</v>
      </c>
      <c r="AX233" s="13">
        <f>G233*AP233</f>
        <v>0</v>
      </c>
      <c r="AY233" s="79" t="s">
        <v>858</v>
      </c>
      <c r="AZ233" s="79" t="s">
        <v>854</v>
      </c>
      <c r="BA233" s="30" t="s">
        <v>801</v>
      </c>
      <c r="BC233" s="13">
        <f>AW233+AX233</f>
        <v>0</v>
      </c>
      <c r="BD233" s="13">
        <f>H233/(100-BE233)*100</f>
        <v>0</v>
      </c>
      <c r="BE233" s="13">
        <v>0</v>
      </c>
      <c r="BF233" s="13">
        <f>233</f>
        <v>233</v>
      </c>
      <c r="BH233" s="13">
        <f>G233*AO233</f>
        <v>0</v>
      </c>
      <c r="BI233" s="13">
        <f>G233*AP233</f>
        <v>0</v>
      </c>
      <c r="BJ233" s="13">
        <f>G233*H233</f>
        <v>0</v>
      </c>
      <c r="BK233" s="13"/>
      <c r="BL233" s="13">
        <v>784</v>
      </c>
      <c r="BW233" s="13">
        <v>21</v>
      </c>
    </row>
    <row r="234" spans="1:75" x14ac:dyDescent="0.25">
      <c r="A234" s="75" t="s">
        <v>20</v>
      </c>
      <c r="B234" s="29" t="s">
        <v>26</v>
      </c>
      <c r="C234" s="29" t="s">
        <v>383</v>
      </c>
      <c r="D234" s="183" t="s">
        <v>587</v>
      </c>
      <c r="E234" s="112"/>
      <c r="F234" s="76" t="s">
        <v>13</v>
      </c>
      <c r="G234" s="76" t="s">
        <v>13</v>
      </c>
      <c r="H234" s="77" t="s">
        <v>13</v>
      </c>
      <c r="I234" s="61">
        <f>SUM(I235:I235)</f>
        <v>0</v>
      </c>
      <c r="K234" s="34"/>
      <c r="AI234" s="30" t="s">
        <v>26</v>
      </c>
      <c r="AS234" s="61">
        <f>SUM(AJ235:AJ235)</f>
        <v>0</v>
      </c>
      <c r="AT234" s="61">
        <f>SUM(AK235:AK235)</f>
        <v>0</v>
      </c>
      <c r="AU234" s="61">
        <f>SUM(AL235:AL235)</f>
        <v>0</v>
      </c>
    </row>
    <row r="235" spans="1:75" ht="13.5" customHeight="1" x14ac:dyDescent="0.25">
      <c r="A235" s="1" t="s">
        <v>588</v>
      </c>
      <c r="B235" s="2" t="s">
        <v>26</v>
      </c>
      <c r="C235" s="2" t="s">
        <v>589</v>
      </c>
      <c r="D235" s="95" t="s">
        <v>590</v>
      </c>
      <c r="E235" s="88"/>
      <c r="F235" s="2" t="s">
        <v>91</v>
      </c>
      <c r="G235" s="13">
        <v>40.695999999999998</v>
      </c>
      <c r="H235" s="78">
        <v>0</v>
      </c>
      <c r="I235" s="13">
        <f>G235*H235</f>
        <v>0</v>
      </c>
      <c r="K235" s="34"/>
      <c r="Z235" s="13">
        <f>IF(AQ235="5",BJ235,0)</f>
        <v>0</v>
      </c>
      <c r="AB235" s="13">
        <f>IF(AQ235="1",BH235,0)</f>
        <v>0</v>
      </c>
      <c r="AC235" s="13">
        <f>IF(AQ235="1",BI235,0)</f>
        <v>0</v>
      </c>
      <c r="AD235" s="13">
        <f>IF(AQ235="7",BH235,0)</f>
        <v>0</v>
      </c>
      <c r="AE235" s="13">
        <f>IF(AQ235="7",BI235,0)</f>
        <v>0</v>
      </c>
      <c r="AF235" s="13">
        <f>IF(AQ235="2",BH235,0)</f>
        <v>0</v>
      </c>
      <c r="AG235" s="13">
        <f>IF(AQ235="2",BI235,0)</f>
        <v>0</v>
      </c>
      <c r="AH235" s="13">
        <f>IF(AQ235="0",BJ235,0)</f>
        <v>0</v>
      </c>
      <c r="AI235" s="30" t="s">
        <v>26</v>
      </c>
      <c r="AJ235" s="13">
        <f>IF(AN235=0,I235,0)</f>
        <v>0</v>
      </c>
      <c r="AK235" s="13">
        <f>IF(AN235=12,I235,0)</f>
        <v>0</v>
      </c>
      <c r="AL235" s="13">
        <f>IF(AN235=21,I235,0)</f>
        <v>0</v>
      </c>
      <c r="AN235" s="13">
        <v>21</v>
      </c>
      <c r="AO235" s="13">
        <f>H235*0.401831623</f>
        <v>0</v>
      </c>
      <c r="AP235" s="13">
        <f>H235*(1-0.401831623)</f>
        <v>0</v>
      </c>
      <c r="AQ235" s="79" t="s">
        <v>23</v>
      </c>
      <c r="AV235" s="13">
        <f>AW235+AX235</f>
        <v>0</v>
      </c>
      <c r="AW235" s="13">
        <f>G235*AO235</f>
        <v>0</v>
      </c>
      <c r="AX235" s="13">
        <f>G235*AP235</f>
        <v>0</v>
      </c>
      <c r="AY235" s="79" t="s">
        <v>859</v>
      </c>
      <c r="AZ235" s="79" t="s">
        <v>860</v>
      </c>
      <c r="BA235" s="30" t="s">
        <v>801</v>
      </c>
      <c r="BC235" s="13">
        <f>AW235+AX235</f>
        <v>0</v>
      </c>
      <c r="BD235" s="13">
        <f>H235/(100-BE235)*100</f>
        <v>0</v>
      </c>
      <c r="BE235" s="13">
        <v>0</v>
      </c>
      <c r="BF235" s="13">
        <f>235</f>
        <v>235</v>
      </c>
      <c r="BH235" s="13">
        <f>G235*AO235</f>
        <v>0</v>
      </c>
      <c r="BI235" s="13">
        <f>G235*AP235</f>
        <v>0</v>
      </c>
      <c r="BJ235" s="13">
        <f>G235*H235</f>
        <v>0</v>
      </c>
      <c r="BK235" s="13"/>
      <c r="BL235" s="13">
        <v>94</v>
      </c>
      <c r="BW235" s="13">
        <v>21</v>
      </c>
    </row>
    <row r="236" spans="1:75" x14ac:dyDescent="0.25">
      <c r="A236" s="75" t="s">
        <v>20</v>
      </c>
      <c r="B236" s="29" t="s">
        <v>26</v>
      </c>
      <c r="C236" s="29" t="s">
        <v>385</v>
      </c>
      <c r="D236" s="183" t="s">
        <v>592</v>
      </c>
      <c r="E236" s="112"/>
      <c r="F236" s="76" t="s">
        <v>13</v>
      </c>
      <c r="G236" s="76" t="s">
        <v>13</v>
      </c>
      <c r="H236" s="77" t="s">
        <v>13</v>
      </c>
      <c r="I236" s="61">
        <f>SUM(I237:I237)</f>
        <v>0</v>
      </c>
      <c r="K236" s="34"/>
      <c r="AI236" s="30" t="s">
        <v>26</v>
      </c>
      <c r="AS236" s="61">
        <f>SUM(AJ237:AJ237)</f>
        <v>0</v>
      </c>
      <c r="AT236" s="61">
        <f>SUM(AK237:AK237)</f>
        <v>0</v>
      </c>
      <c r="AU236" s="61">
        <f>SUM(AL237:AL237)</f>
        <v>0</v>
      </c>
    </row>
    <row r="237" spans="1:75" ht="13.5" customHeight="1" x14ac:dyDescent="0.25">
      <c r="A237" s="1" t="s">
        <v>593</v>
      </c>
      <c r="B237" s="2" t="s">
        <v>26</v>
      </c>
      <c r="C237" s="2" t="s">
        <v>594</v>
      </c>
      <c r="D237" s="95" t="s">
        <v>595</v>
      </c>
      <c r="E237" s="88"/>
      <c r="F237" s="2" t="s">
        <v>91</v>
      </c>
      <c r="G237" s="13">
        <v>23.343</v>
      </c>
      <c r="H237" s="78">
        <v>0</v>
      </c>
      <c r="I237" s="13">
        <f>G237*H237</f>
        <v>0</v>
      </c>
      <c r="K237" s="34"/>
      <c r="Z237" s="13">
        <f>IF(AQ237="5",BJ237,0)</f>
        <v>0</v>
      </c>
      <c r="AB237" s="13">
        <f>IF(AQ237="1",BH237,0)</f>
        <v>0</v>
      </c>
      <c r="AC237" s="13">
        <f>IF(AQ237="1",BI237,0)</f>
        <v>0</v>
      </c>
      <c r="AD237" s="13">
        <f>IF(AQ237="7",BH237,0)</f>
        <v>0</v>
      </c>
      <c r="AE237" s="13">
        <f>IF(AQ237="7",BI237,0)</f>
        <v>0</v>
      </c>
      <c r="AF237" s="13">
        <f>IF(AQ237="2",BH237,0)</f>
        <v>0</v>
      </c>
      <c r="AG237" s="13">
        <f>IF(AQ237="2",BI237,0)</f>
        <v>0</v>
      </c>
      <c r="AH237" s="13">
        <f>IF(AQ237="0",BJ237,0)</f>
        <v>0</v>
      </c>
      <c r="AI237" s="30" t="s">
        <v>26</v>
      </c>
      <c r="AJ237" s="13">
        <f>IF(AN237=0,I237,0)</f>
        <v>0</v>
      </c>
      <c r="AK237" s="13">
        <f>IF(AN237=12,I237,0)</f>
        <v>0</v>
      </c>
      <c r="AL237" s="13">
        <f>IF(AN237=21,I237,0)</f>
        <v>0</v>
      </c>
      <c r="AN237" s="13">
        <v>21</v>
      </c>
      <c r="AO237" s="13">
        <f>H237*0.01388779</f>
        <v>0</v>
      </c>
      <c r="AP237" s="13">
        <f>H237*(1-0.01388779)</f>
        <v>0</v>
      </c>
      <c r="AQ237" s="79" t="s">
        <v>23</v>
      </c>
      <c r="AV237" s="13">
        <f>AW237+AX237</f>
        <v>0</v>
      </c>
      <c r="AW237" s="13">
        <f>G237*AO237</f>
        <v>0</v>
      </c>
      <c r="AX237" s="13">
        <f>G237*AP237</f>
        <v>0</v>
      </c>
      <c r="AY237" s="79" t="s">
        <v>861</v>
      </c>
      <c r="AZ237" s="79" t="s">
        <v>860</v>
      </c>
      <c r="BA237" s="30" t="s">
        <v>801</v>
      </c>
      <c r="BC237" s="13">
        <f>AW237+AX237</f>
        <v>0</v>
      </c>
      <c r="BD237" s="13">
        <f>H237/(100-BE237)*100</f>
        <v>0</v>
      </c>
      <c r="BE237" s="13">
        <v>0</v>
      </c>
      <c r="BF237" s="13">
        <f>237</f>
        <v>237</v>
      </c>
      <c r="BH237" s="13">
        <f>G237*AO237</f>
        <v>0</v>
      </c>
      <c r="BI237" s="13">
        <f>G237*AP237</f>
        <v>0</v>
      </c>
      <c r="BJ237" s="13">
        <f>G237*H237</f>
        <v>0</v>
      </c>
      <c r="BK237" s="13"/>
      <c r="BL237" s="13">
        <v>95</v>
      </c>
      <c r="BW237" s="13">
        <v>21</v>
      </c>
    </row>
    <row r="238" spans="1:75" x14ac:dyDescent="0.25">
      <c r="A238" s="75" t="s">
        <v>20</v>
      </c>
      <c r="B238" s="29" t="s">
        <v>26</v>
      </c>
      <c r="C238" s="29" t="s">
        <v>387</v>
      </c>
      <c r="D238" s="183" t="s">
        <v>596</v>
      </c>
      <c r="E238" s="112"/>
      <c r="F238" s="76" t="s">
        <v>13</v>
      </c>
      <c r="G238" s="76" t="s">
        <v>13</v>
      </c>
      <c r="H238" s="77" t="s">
        <v>13</v>
      </c>
      <c r="I238" s="61">
        <f>SUM(I239:I249)</f>
        <v>0</v>
      </c>
      <c r="K238" s="34"/>
      <c r="AI238" s="30" t="s">
        <v>26</v>
      </c>
      <c r="AS238" s="61">
        <f>SUM(AJ239:AJ249)</f>
        <v>0</v>
      </c>
      <c r="AT238" s="61">
        <f>SUM(AK239:AK249)</f>
        <v>0</v>
      </c>
      <c r="AU238" s="61">
        <f>SUM(AL239:AL249)</f>
        <v>0</v>
      </c>
    </row>
    <row r="239" spans="1:75" ht="13.5" customHeight="1" x14ac:dyDescent="0.25">
      <c r="A239" s="1" t="s">
        <v>597</v>
      </c>
      <c r="B239" s="2" t="s">
        <v>26</v>
      </c>
      <c r="C239" s="2" t="s">
        <v>598</v>
      </c>
      <c r="D239" s="95" t="s">
        <v>599</v>
      </c>
      <c r="E239" s="88"/>
      <c r="F239" s="2" t="s">
        <v>91</v>
      </c>
      <c r="G239" s="13">
        <v>23.343</v>
      </c>
      <c r="H239" s="78">
        <v>0</v>
      </c>
      <c r="I239" s="13">
        <f>G239*H239</f>
        <v>0</v>
      </c>
      <c r="K239" s="34"/>
      <c r="Z239" s="13">
        <f>IF(AQ239="5",BJ239,0)</f>
        <v>0</v>
      </c>
      <c r="AB239" s="13">
        <f>IF(AQ239="1",BH239,0)</f>
        <v>0</v>
      </c>
      <c r="AC239" s="13">
        <f>IF(AQ239="1",BI239,0)</f>
        <v>0</v>
      </c>
      <c r="AD239" s="13">
        <f>IF(AQ239="7",BH239,0)</f>
        <v>0</v>
      </c>
      <c r="AE239" s="13">
        <f>IF(AQ239="7",BI239,0)</f>
        <v>0</v>
      </c>
      <c r="AF239" s="13">
        <f>IF(AQ239="2",BH239,0)</f>
        <v>0</v>
      </c>
      <c r="AG239" s="13">
        <f>IF(AQ239="2",BI239,0)</f>
        <v>0</v>
      </c>
      <c r="AH239" s="13">
        <f>IF(AQ239="0",BJ239,0)</f>
        <v>0</v>
      </c>
      <c r="AI239" s="30" t="s">
        <v>26</v>
      </c>
      <c r="AJ239" s="13">
        <f>IF(AN239=0,I239,0)</f>
        <v>0</v>
      </c>
      <c r="AK239" s="13">
        <f>IF(AN239=12,I239,0)</f>
        <v>0</v>
      </c>
      <c r="AL239" s="13">
        <f>IF(AN239=21,I239,0)</f>
        <v>0</v>
      </c>
      <c r="AN239" s="13">
        <v>21</v>
      </c>
      <c r="AO239" s="13">
        <f>H239*0</f>
        <v>0</v>
      </c>
      <c r="AP239" s="13">
        <f>H239*(1-0)</f>
        <v>0</v>
      </c>
      <c r="AQ239" s="79" t="s">
        <v>23</v>
      </c>
      <c r="AV239" s="13">
        <f>AW239+AX239</f>
        <v>0</v>
      </c>
      <c r="AW239" s="13">
        <f>G239*AO239</f>
        <v>0</v>
      </c>
      <c r="AX239" s="13">
        <f>G239*AP239</f>
        <v>0</v>
      </c>
      <c r="AY239" s="79" t="s">
        <v>862</v>
      </c>
      <c r="AZ239" s="79" t="s">
        <v>860</v>
      </c>
      <c r="BA239" s="30" t="s">
        <v>801</v>
      </c>
      <c r="BC239" s="13">
        <f>AW239+AX239</f>
        <v>0</v>
      </c>
      <c r="BD239" s="13">
        <f>H239/(100-BE239)*100</f>
        <v>0</v>
      </c>
      <c r="BE239" s="13">
        <v>0</v>
      </c>
      <c r="BF239" s="13">
        <f>239</f>
        <v>239</v>
      </c>
      <c r="BH239" s="13">
        <f>G239*AO239</f>
        <v>0</v>
      </c>
      <c r="BI239" s="13">
        <f>G239*AP239</f>
        <v>0</v>
      </c>
      <c r="BJ239" s="13">
        <f>G239*H239</f>
        <v>0</v>
      </c>
      <c r="BK239" s="13"/>
      <c r="BL239" s="13">
        <v>96</v>
      </c>
      <c r="BW239" s="13">
        <v>21</v>
      </c>
    </row>
    <row r="240" spans="1:75" ht="13.5" customHeight="1" x14ac:dyDescent="0.25">
      <c r="A240" s="32"/>
      <c r="C240" s="80" t="s">
        <v>802</v>
      </c>
      <c r="D240" s="113" t="s">
        <v>863</v>
      </c>
      <c r="E240" s="114"/>
      <c r="F240" s="114"/>
      <c r="G240" s="114"/>
      <c r="H240" s="184"/>
      <c r="I240" s="114"/>
      <c r="J240" s="114"/>
      <c r="K240" s="185"/>
    </row>
    <row r="241" spans="1:75" ht="13.5" customHeight="1" x14ac:dyDescent="0.25">
      <c r="A241" s="1" t="s">
        <v>600</v>
      </c>
      <c r="B241" s="2" t="s">
        <v>26</v>
      </c>
      <c r="C241" s="2" t="s">
        <v>601</v>
      </c>
      <c r="D241" s="95" t="s">
        <v>602</v>
      </c>
      <c r="E241" s="88"/>
      <c r="F241" s="2" t="s">
        <v>91</v>
      </c>
      <c r="G241" s="13">
        <v>7.88</v>
      </c>
      <c r="H241" s="78">
        <v>0</v>
      </c>
      <c r="I241" s="13">
        <f>G241*H241</f>
        <v>0</v>
      </c>
      <c r="K241" s="34"/>
      <c r="Z241" s="13">
        <f>IF(AQ241="5",BJ241,0)</f>
        <v>0</v>
      </c>
      <c r="AB241" s="13">
        <f>IF(AQ241="1",BH241,0)</f>
        <v>0</v>
      </c>
      <c r="AC241" s="13">
        <f>IF(AQ241="1",BI241,0)</f>
        <v>0</v>
      </c>
      <c r="AD241" s="13">
        <f>IF(AQ241="7",BH241,0)</f>
        <v>0</v>
      </c>
      <c r="AE241" s="13">
        <f>IF(AQ241="7",BI241,0)</f>
        <v>0</v>
      </c>
      <c r="AF241" s="13">
        <f>IF(AQ241="2",BH241,0)</f>
        <v>0</v>
      </c>
      <c r="AG241" s="13">
        <f>IF(AQ241="2",BI241,0)</f>
        <v>0</v>
      </c>
      <c r="AH241" s="13">
        <f>IF(AQ241="0",BJ241,0)</f>
        <v>0</v>
      </c>
      <c r="AI241" s="30" t="s">
        <v>26</v>
      </c>
      <c r="AJ241" s="13">
        <f>IF(AN241=0,I241,0)</f>
        <v>0</v>
      </c>
      <c r="AK241" s="13">
        <f>IF(AN241=12,I241,0)</f>
        <v>0</v>
      </c>
      <c r="AL241" s="13">
        <f>IF(AN241=21,I241,0)</f>
        <v>0</v>
      </c>
      <c r="AN241" s="13">
        <v>21</v>
      </c>
      <c r="AO241" s="13">
        <f>H241*0.074773563</f>
        <v>0</v>
      </c>
      <c r="AP241" s="13">
        <f>H241*(1-0.074773563)</f>
        <v>0</v>
      </c>
      <c r="AQ241" s="79" t="s">
        <v>23</v>
      </c>
      <c r="AV241" s="13">
        <f>AW241+AX241</f>
        <v>0</v>
      </c>
      <c r="AW241" s="13">
        <f>G241*AO241</f>
        <v>0</v>
      </c>
      <c r="AX241" s="13">
        <f>G241*AP241</f>
        <v>0</v>
      </c>
      <c r="AY241" s="79" t="s">
        <v>862</v>
      </c>
      <c r="AZ241" s="79" t="s">
        <v>860</v>
      </c>
      <c r="BA241" s="30" t="s">
        <v>801</v>
      </c>
      <c r="BC241" s="13">
        <f>AW241+AX241</f>
        <v>0</v>
      </c>
      <c r="BD241" s="13">
        <f>H241/(100-BE241)*100</f>
        <v>0</v>
      </c>
      <c r="BE241" s="13">
        <v>0</v>
      </c>
      <c r="BF241" s="13">
        <f>241</f>
        <v>241</v>
      </c>
      <c r="BH241" s="13">
        <f>G241*AO241</f>
        <v>0</v>
      </c>
      <c r="BI241" s="13">
        <f>G241*AP241</f>
        <v>0</v>
      </c>
      <c r="BJ241" s="13">
        <f>G241*H241</f>
        <v>0</v>
      </c>
      <c r="BK241" s="13"/>
      <c r="BL241" s="13">
        <v>96</v>
      </c>
      <c r="BW241" s="13">
        <v>21</v>
      </c>
    </row>
    <row r="242" spans="1:75" ht="13.5" customHeight="1" x14ac:dyDescent="0.25">
      <c r="A242" s="1" t="s">
        <v>604</v>
      </c>
      <c r="B242" s="2" t="s">
        <v>26</v>
      </c>
      <c r="C242" s="2" t="s">
        <v>605</v>
      </c>
      <c r="D242" s="95" t="s">
        <v>606</v>
      </c>
      <c r="E242" s="88"/>
      <c r="F242" s="2" t="s">
        <v>102</v>
      </c>
      <c r="G242" s="13">
        <v>2.3342999999999998</v>
      </c>
      <c r="H242" s="78">
        <v>0</v>
      </c>
      <c r="I242" s="13">
        <f>G242*H242</f>
        <v>0</v>
      </c>
      <c r="K242" s="34"/>
      <c r="Z242" s="13">
        <f>IF(AQ242="5",BJ242,0)</f>
        <v>0</v>
      </c>
      <c r="AB242" s="13">
        <f>IF(AQ242="1",BH242,0)</f>
        <v>0</v>
      </c>
      <c r="AC242" s="13">
        <f>IF(AQ242="1",BI242,0)</f>
        <v>0</v>
      </c>
      <c r="AD242" s="13">
        <f>IF(AQ242="7",BH242,0)</f>
        <v>0</v>
      </c>
      <c r="AE242" s="13">
        <f>IF(AQ242="7",BI242,0)</f>
        <v>0</v>
      </c>
      <c r="AF242" s="13">
        <f>IF(AQ242="2",BH242,0)</f>
        <v>0</v>
      </c>
      <c r="AG242" s="13">
        <f>IF(AQ242="2",BI242,0)</f>
        <v>0</v>
      </c>
      <c r="AH242" s="13">
        <f>IF(AQ242="0",BJ242,0)</f>
        <v>0</v>
      </c>
      <c r="AI242" s="30" t="s">
        <v>26</v>
      </c>
      <c r="AJ242" s="13">
        <f>IF(AN242=0,I242,0)</f>
        <v>0</v>
      </c>
      <c r="AK242" s="13">
        <f>IF(AN242=12,I242,0)</f>
        <v>0</v>
      </c>
      <c r="AL242" s="13">
        <f>IF(AN242=21,I242,0)</f>
        <v>0</v>
      </c>
      <c r="AN242" s="13">
        <v>21</v>
      </c>
      <c r="AO242" s="13">
        <f>H242*0</f>
        <v>0</v>
      </c>
      <c r="AP242" s="13">
        <f>H242*(1-0)</f>
        <v>0</v>
      </c>
      <c r="AQ242" s="79" t="s">
        <v>23</v>
      </c>
      <c r="AV242" s="13">
        <f>AW242+AX242</f>
        <v>0</v>
      </c>
      <c r="AW242" s="13">
        <f>G242*AO242</f>
        <v>0</v>
      </c>
      <c r="AX242" s="13">
        <f>G242*AP242</f>
        <v>0</v>
      </c>
      <c r="AY242" s="79" t="s">
        <v>862</v>
      </c>
      <c r="AZ242" s="79" t="s">
        <v>860</v>
      </c>
      <c r="BA242" s="30" t="s">
        <v>801</v>
      </c>
      <c r="BC242" s="13">
        <f>AW242+AX242</f>
        <v>0</v>
      </c>
      <c r="BD242" s="13">
        <f>H242/(100-BE242)*100</f>
        <v>0</v>
      </c>
      <c r="BE242" s="13">
        <v>0</v>
      </c>
      <c r="BF242" s="13">
        <f>242</f>
        <v>242</v>
      </c>
      <c r="BH242" s="13">
        <f>G242*AO242</f>
        <v>0</v>
      </c>
      <c r="BI242" s="13">
        <f>G242*AP242</f>
        <v>0</v>
      </c>
      <c r="BJ242" s="13">
        <f>G242*H242</f>
        <v>0</v>
      </c>
      <c r="BK242" s="13"/>
      <c r="BL242" s="13">
        <v>96</v>
      </c>
      <c r="BW242" s="13">
        <v>21</v>
      </c>
    </row>
    <row r="243" spans="1:75" ht="13.5" customHeight="1" x14ac:dyDescent="0.25">
      <c r="A243" s="32"/>
      <c r="C243" s="80" t="s">
        <v>802</v>
      </c>
      <c r="D243" s="113" t="s">
        <v>864</v>
      </c>
      <c r="E243" s="114"/>
      <c r="F243" s="114"/>
      <c r="G243" s="114"/>
      <c r="H243" s="184"/>
      <c r="I243" s="114"/>
      <c r="J243" s="114"/>
      <c r="K243" s="185"/>
    </row>
    <row r="244" spans="1:75" ht="13.5" customHeight="1" x14ac:dyDescent="0.25">
      <c r="A244" s="1" t="s">
        <v>607</v>
      </c>
      <c r="B244" s="2" t="s">
        <v>26</v>
      </c>
      <c r="C244" s="2" t="s">
        <v>608</v>
      </c>
      <c r="D244" s="95" t="s">
        <v>609</v>
      </c>
      <c r="E244" s="88"/>
      <c r="F244" s="2" t="s">
        <v>127</v>
      </c>
      <c r="G244" s="13">
        <v>33</v>
      </c>
      <c r="H244" s="78">
        <v>0</v>
      </c>
      <c r="I244" s="13">
        <f t="shared" ref="I244:I249" si="122">G244*H244</f>
        <v>0</v>
      </c>
      <c r="K244" s="34"/>
      <c r="Z244" s="13">
        <f t="shared" ref="Z244:Z249" si="123">IF(AQ244="5",BJ244,0)</f>
        <v>0</v>
      </c>
      <c r="AB244" s="13">
        <f t="shared" ref="AB244:AB249" si="124">IF(AQ244="1",BH244,0)</f>
        <v>0</v>
      </c>
      <c r="AC244" s="13">
        <f t="shared" ref="AC244:AC249" si="125">IF(AQ244="1",BI244,0)</f>
        <v>0</v>
      </c>
      <c r="AD244" s="13">
        <f t="shared" ref="AD244:AD249" si="126">IF(AQ244="7",BH244,0)</f>
        <v>0</v>
      </c>
      <c r="AE244" s="13">
        <f t="shared" ref="AE244:AE249" si="127">IF(AQ244="7",BI244,0)</f>
        <v>0</v>
      </c>
      <c r="AF244" s="13">
        <f t="shared" ref="AF244:AF249" si="128">IF(AQ244="2",BH244,0)</f>
        <v>0</v>
      </c>
      <c r="AG244" s="13">
        <f t="shared" ref="AG244:AG249" si="129">IF(AQ244="2",BI244,0)</f>
        <v>0</v>
      </c>
      <c r="AH244" s="13">
        <f t="shared" ref="AH244:AH249" si="130">IF(AQ244="0",BJ244,0)</f>
        <v>0</v>
      </c>
      <c r="AI244" s="30" t="s">
        <v>26</v>
      </c>
      <c r="AJ244" s="13">
        <f t="shared" ref="AJ244:AJ249" si="131">IF(AN244=0,I244,0)</f>
        <v>0</v>
      </c>
      <c r="AK244" s="13">
        <f t="shared" ref="AK244:AK249" si="132">IF(AN244=12,I244,0)</f>
        <v>0</v>
      </c>
      <c r="AL244" s="13">
        <f t="shared" ref="AL244:AL249" si="133">IF(AN244=21,I244,0)</f>
        <v>0</v>
      </c>
      <c r="AN244" s="13">
        <v>21</v>
      </c>
      <c r="AO244" s="13">
        <f>H244*0.193985317</f>
        <v>0</v>
      </c>
      <c r="AP244" s="13">
        <f>H244*(1-0.193985317)</f>
        <v>0</v>
      </c>
      <c r="AQ244" s="79" t="s">
        <v>23</v>
      </c>
      <c r="AV244" s="13">
        <f t="shared" ref="AV244:AV249" si="134">AW244+AX244</f>
        <v>0</v>
      </c>
      <c r="AW244" s="13">
        <f t="shared" ref="AW244:AW249" si="135">G244*AO244</f>
        <v>0</v>
      </c>
      <c r="AX244" s="13">
        <f t="shared" ref="AX244:AX249" si="136">G244*AP244</f>
        <v>0</v>
      </c>
      <c r="AY244" s="79" t="s">
        <v>862</v>
      </c>
      <c r="AZ244" s="79" t="s">
        <v>860</v>
      </c>
      <c r="BA244" s="30" t="s">
        <v>801</v>
      </c>
      <c r="BC244" s="13">
        <f t="shared" ref="BC244:BC249" si="137">AW244+AX244</f>
        <v>0</v>
      </c>
      <c r="BD244" s="13">
        <f t="shared" ref="BD244:BD249" si="138">H244/(100-BE244)*100</f>
        <v>0</v>
      </c>
      <c r="BE244" s="13">
        <v>0</v>
      </c>
      <c r="BF244" s="13">
        <f>244</f>
        <v>244</v>
      </c>
      <c r="BH244" s="13">
        <f t="shared" ref="BH244:BH249" si="139">G244*AO244</f>
        <v>0</v>
      </c>
      <c r="BI244" s="13">
        <f t="shared" ref="BI244:BI249" si="140">G244*AP244</f>
        <v>0</v>
      </c>
      <c r="BJ244" s="13">
        <f t="shared" ref="BJ244:BJ249" si="141">G244*H244</f>
        <v>0</v>
      </c>
      <c r="BK244" s="13"/>
      <c r="BL244" s="13">
        <v>96</v>
      </c>
      <c r="BW244" s="13">
        <v>21</v>
      </c>
    </row>
    <row r="245" spans="1:75" ht="13.5" customHeight="1" x14ac:dyDescent="0.25">
      <c r="A245" s="1" t="s">
        <v>610</v>
      </c>
      <c r="B245" s="2" t="s">
        <v>26</v>
      </c>
      <c r="C245" s="2" t="s">
        <v>611</v>
      </c>
      <c r="D245" s="95" t="s">
        <v>612</v>
      </c>
      <c r="E245" s="88"/>
      <c r="F245" s="2" t="s">
        <v>127</v>
      </c>
      <c r="G245" s="13">
        <v>22</v>
      </c>
      <c r="H245" s="78">
        <v>0</v>
      </c>
      <c r="I245" s="13">
        <f t="shared" si="122"/>
        <v>0</v>
      </c>
      <c r="K245" s="34"/>
      <c r="Z245" s="13">
        <f t="shared" si="123"/>
        <v>0</v>
      </c>
      <c r="AB245" s="13">
        <f t="shared" si="124"/>
        <v>0</v>
      </c>
      <c r="AC245" s="13">
        <f t="shared" si="125"/>
        <v>0</v>
      </c>
      <c r="AD245" s="13">
        <f t="shared" si="126"/>
        <v>0</v>
      </c>
      <c r="AE245" s="13">
        <f t="shared" si="127"/>
        <v>0</v>
      </c>
      <c r="AF245" s="13">
        <f t="shared" si="128"/>
        <v>0</v>
      </c>
      <c r="AG245" s="13">
        <f t="shared" si="129"/>
        <v>0</v>
      </c>
      <c r="AH245" s="13">
        <f t="shared" si="130"/>
        <v>0</v>
      </c>
      <c r="AI245" s="30" t="s">
        <v>26</v>
      </c>
      <c r="AJ245" s="13">
        <f t="shared" si="131"/>
        <v>0</v>
      </c>
      <c r="AK245" s="13">
        <f t="shared" si="132"/>
        <v>0</v>
      </c>
      <c r="AL245" s="13">
        <f t="shared" si="133"/>
        <v>0</v>
      </c>
      <c r="AN245" s="13">
        <v>21</v>
      </c>
      <c r="AO245" s="13">
        <f>H245*0.07875576</f>
        <v>0</v>
      </c>
      <c r="AP245" s="13">
        <f>H245*(1-0.07875576)</f>
        <v>0</v>
      </c>
      <c r="AQ245" s="79" t="s">
        <v>23</v>
      </c>
      <c r="AV245" s="13">
        <f t="shared" si="134"/>
        <v>0</v>
      </c>
      <c r="AW245" s="13">
        <f t="shared" si="135"/>
        <v>0</v>
      </c>
      <c r="AX245" s="13">
        <f t="shared" si="136"/>
        <v>0</v>
      </c>
      <c r="AY245" s="79" t="s">
        <v>862</v>
      </c>
      <c r="AZ245" s="79" t="s">
        <v>860</v>
      </c>
      <c r="BA245" s="30" t="s">
        <v>801</v>
      </c>
      <c r="BC245" s="13">
        <f t="shared" si="137"/>
        <v>0</v>
      </c>
      <c r="BD245" s="13">
        <f t="shared" si="138"/>
        <v>0</v>
      </c>
      <c r="BE245" s="13">
        <v>0</v>
      </c>
      <c r="BF245" s="13">
        <f>245</f>
        <v>245</v>
      </c>
      <c r="BH245" s="13">
        <f t="shared" si="139"/>
        <v>0</v>
      </c>
      <c r="BI245" s="13">
        <f t="shared" si="140"/>
        <v>0</v>
      </c>
      <c r="BJ245" s="13">
        <f t="shared" si="141"/>
        <v>0</v>
      </c>
      <c r="BK245" s="13"/>
      <c r="BL245" s="13">
        <v>96</v>
      </c>
      <c r="BW245" s="13">
        <v>21</v>
      </c>
    </row>
    <row r="246" spans="1:75" ht="13.5" customHeight="1" x14ac:dyDescent="0.25">
      <c r="A246" s="1" t="s">
        <v>613</v>
      </c>
      <c r="B246" s="2" t="s">
        <v>26</v>
      </c>
      <c r="C246" s="2" t="s">
        <v>614</v>
      </c>
      <c r="D246" s="95" t="s">
        <v>615</v>
      </c>
      <c r="E246" s="88"/>
      <c r="F246" s="2" t="s">
        <v>91</v>
      </c>
      <c r="G246" s="13">
        <v>17.938500000000001</v>
      </c>
      <c r="H246" s="78">
        <v>0</v>
      </c>
      <c r="I246" s="13">
        <f t="shared" si="122"/>
        <v>0</v>
      </c>
      <c r="K246" s="34"/>
      <c r="Z246" s="13">
        <f t="shared" si="123"/>
        <v>0</v>
      </c>
      <c r="AB246" s="13">
        <f t="shared" si="124"/>
        <v>0</v>
      </c>
      <c r="AC246" s="13">
        <f t="shared" si="125"/>
        <v>0</v>
      </c>
      <c r="AD246" s="13">
        <f t="shared" si="126"/>
        <v>0</v>
      </c>
      <c r="AE246" s="13">
        <f t="shared" si="127"/>
        <v>0</v>
      </c>
      <c r="AF246" s="13">
        <f t="shared" si="128"/>
        <v>0</v>
      </c>
      <c r="AG246" s="13">
        <f t="shared" si="129"/>
        <v>0</v>
      </c>
      <c r="AH246" s="13">
        <f t="shared" si="130"/>
        <v>0</v>
      </c>
      <c r="AI246" s="30" t="s">
        <v>26</v>
      </c>
      <c r="AJ246" s="13">
        <f t="shared" si="131"/>
        <v>0</v>
      </c>
      <c r="AK246" s="13">
        <f t="shared" si="132"/>
        <v>0</v>
      </c>
      <c r="AL246" s="13">
        <f t="shared" si="133"/>
        <v>0</v>
      </c>
      <c r="AN246" s="13">
        <v>21</v>
      </c>
      <c r="AO246" s="13">
        <f>H246*0.10067737</f>
        <v>0</v>
      </c>
      <c r="AP246" s="13">
        <f>H246*(1-0.10067737)</f>
        <v>0</v>
      </c>
      <c r="AQ246" s="79" t="s">
        <v>23</v>
      </c>
      <c r="AV246" s="13">
        <f t="shared" si="134"/>
        <v>0</v>
      </c>
      <c r="AW246" s="13">
        <f t="shared" si="135"/>
        <v>0</v>
      </c>
      <c r="AX246" s="13">
        <f t="shared" si="136"/>
        <v>0</v>
      </c>
      <c r="AY246" s="79" t="s">
        <v>862</v>
      </c>
      <c r="AZ246" s="79" t="s">
        <v>860</v>
      </c>
      <c r="BA246" s="30" t="s">
        <v>801</v>
      </c>
      <c r="BC246" s="13">
        <f t="shared" si="137"/>
        <v>0</v>
      </c>
      <c r="BD246" s="13">
        <f t="shared" si="138"/>
        <v>0</v>
      </c>
      <c r="BE246" s="13">
        <v>0</v>
      </c>
      <c r="BF246" s="13">
        <f>246</f>
        <v>246</v>
      </c>
      <c r="BH246" s="13">
        <f t="shared" si="139"/>
        <v>0</v>
      </c>
      <c r="BI246" s="13">
        <f t="shared" si="140"/>
        <v>0</v>
      </c>
      <c r="BJ246" s="13">
        <f t="shared" si="141"/>
        <v>0</v>
      </c>
      <c r="BK246" s="13"/>
      <c r="BL246" s="13">
        <v>96</v>
      </c>
      <c r="BW246" s="13">
        <v>21</v>
      </c>
    </row>
    <row r="247" spans="1:75" ht="13.5" customHeight="1" x14ac:dyDescent="0.25">
      <c r="A247" s="1" t="s">
        <v>620</v>
      </c>
      <c r="B247" s="2" t="s">
        <v>26</v>
      </c>
      <c r="C247" s="2" t="s">
        <v>621</v>
      </c>
      <c r="D247" s="95" t="s">
        <v>622</v>
      </c>
      <c r="E247" s="88"/>
      <c r="F247" s="2" t="s">
        <v>107</v>
      </c>
      <c r="G247" s="13">
        <v>3</v>
      </c>
      <c r="H247" s="78">
        <v>0</v>
      </c>
      <c r="I247" s="13">
        <f t="shared" si="122"/>
        <v>0</v>
      </c>
      <c r="K247" s="34"/>
      <c r="Z247" s="13">
        <f t="shared" si="123"/>
        <v>0</v>
      </c>
      <c r="AB247" s="13">
        <f t="shared" si="124"/>
        <v>0</v>
      </c>
      <c r="AC247" s="13">
        <f t="shared" si="125"/>
        <v>0</v>
      </c>
      <c r="AD247" s="13">
        <f t="shared" si="126"/>
        <v>0</v>
      </c>
      <c r="AE247" s="13">
        <f t="shared" si="127"/>
        <v>0</v>
      </c>
      <c r="AF247" s="13">
        <f t="shared" si="128"/>
        <v>0</v>
      </c>
      <c r="AG247" s="13">
        <f t="shared" si="129"/>
        <v>0</v>
      </c>
      <c r="AH247" s="13">
        <f t="shared" si="130"/>
        <v>0</v>
      </c>
      <c r="AI247" s="30" t="s">
        <v>26</v>
      </c>
      <c r="AJ247" s="13">
        <f t="shared" si="131"/>
        <v>0</v>
      </c>
      <c r="AK247" s="13">
        <f t="shared" si="132"/>
        <v>0</v>
      </c>
      <c r="AL247" s="13">
        <f t="shared" si="133"/>
        <v>0</v>
      </c>
      <c r="AN247" s="13">
        <v>21</v>
      </c>
      <c r="AO247" s="13">
        <f>H247*0</f>
        <v>0</v>
      </c>
      <c r="AP247" s="13">
        <f>H247*(1-0)</f>
        <v>0</v>
      </c>
      <c r="AQ247" s="79" t="s">
        <v>23</v>
      </c>
      <c r="AV247" s="13">
        <f t="shared" si="134"/>
        <v>0</v>
      </c>
      <c r="AW247" s="13">
        <f t="shared" si="135"/>
        <v>0</v>
      </c>
      <c r="AX247" s="13">
        <f t="shared" si="136"/>
        <v>0</v>
      </c>
      <c r="AY247" s="79" t="s">
        <v>862</v>
      </c>
      <c r="AZ247" s="79" t="s">
        <v>860</v>
      </c>
      <c r="BA247" s="30" t="s">
        <v>801</v>
      </c>
      <c r="BC247" s="13">
        <f t="shared" si="137"/>
        <v>0</v>
      </c>
      <c r="BD247" s="13">
        <f t="shared" si="138"/>
        <v>0</v>
      </c>
      <c r="BE247" s="13">
        <v>0</v>
      </c>
      <c r="BF247" s="13">
        <f>247</f>
        <v>247</v>
      </c>
      <c r="BH247" s="13">
        <f t="shared" si="139"/>
        <v>0</v>
      </c>
      <c r="BI247" s="13">
        <f t="shared" si="140"/>
        <v>0</v>
      </c>
      <c r="BJ247" s="13">
        <f t="shared" si="141"/>
        <v>0</v>
      </c>
      <c r="BK247" s="13"/>
      <c r="BL247" s="13">
        <v>96</v>
      </c>
      <c r="BW247" s="13">
        <v>21</v>
      </c>
    </row>
    <row r="248" spans="1:75" ht="13.5" customHeight="1" x14ac:dyDescent="0.25">
      <c r="A248" s="1" t="s">
        <v>623</v>
      </c>
      <c r="B248" s="2" t="s">
        <v>26</v>
      </c>
      <c r="C248" s="2" t="s">
        <v>624</v>
      </c>
      <c r="D248" s="95" t="s">
        <v>625</v>
      </c>
      <c r="E248" s="88"/>
      <c r="F248" s="2" t="s">
        <v>91</v>
      </c>
      <c r="G248" s="13">
        <v>4.3512000000000004</v>
      </c>
      <c r="H248" s="78">
        <v>0</v>
      </c>
      <c r="I248" s="13">
        <f t="shared" si="122"/>
        <v>0</v>
      </c>
      <c r="K248" s="34"/>
      <c r="Z248" s="13">
        <f t="shared" si="123"/>
        <v>0</v>
      </c>
      <c r="AB248" s="13">
        <f t="shared" si="124"/>
        <v>0</v>
      </c>
      <c r="AC248" s="13">
        <f t="shared" si="125"/>
        <v>0</v>
      </c>
      <c r="AD248" s="13">
        <f t="shared" si="126"/>
        <v>0</v>
      </c>
      <c r="AE248" s="13">
        <f t="shared" si="127"/>
        <v>0</v>
      </c>
      <c r="AF248" s="13">
        <f t="shared" si="128"/>
        <v>0</v>
      </c>
      <c r="AG248" s="13">
        <f t="shared" si="129"/>
        <v>0</v>
      </c>
      <c r="AH248" s="13">
        <f t="shared" si="130"/>
        <v>0</v>
      </c>
      <c r="AI248" s="30" t="s">
        <v>26</v>
      </c>
      <c r="AJ248" s="13">
        <f t="shared" si="131"/>
        <v>0</v>
      </c>
      <c r="AK248" s="13">
        <f t="shared" si="132"/>
        <v>0</v>
      </c>
      <c r="AL248" s="13">
        <f t="shared" si="133"/>
        <v>0</v>
      </c>
      <c r="AN248" s="13">
        <v>21</v>
      </c>
      <c r="AO248" s="13">
        <f>H248*0.161292579</f>
        <v>0</v>
      </c>
      <c r="AP248" s="13">
        <f>H248*(1-0.161292579)</f>
        <v>0</v>
      </c>
      <c r="AQ248" s="79" t="s">
        <v>23</v>
      </c>
      <c r="AV248" s="13">
        <f t="shared" si="134"/>
        <v>0</v>
      </c>
      <c r="AW248" s="13">
        <f t="shared" si="135"/>
        <v>0</v>
      </c>
      <c r="AX248" s="13">
        <f t="shared" si="136"/>
        <v>0</v>
      </c>
      <c r="AY248" s="79" t="s">
        <v>862</v>
      </c>
      <c r="AZ248" s="79" t="s">
        <v>860</v>
      </c>
      <c r="BA248" s="30" t="s">
        <v>801</v>
      </c>
      <c r="BC248" s="13">
        <f t="shared" si="137"/>
        <v>0</v>
      </c>
      <c r="BD248" s="13">
        <f t="shared" si="138"/>
        <v>0</v>
      </c>
      <c r="BE248" s="13">
        <v>0</v>
      </c>
      <c r="BF248" s="13">
        <f>248</f>
        <v>248</v>
      </c>
      <c r="BH248" s="13">
        <f t="shared" si="139"/>
        <v>0</v>
      </c>
      <c r="BI248" s="13">
        <f t="shared" si="140"/>
        <v>0</v>
      </c>
      <c r="BJ248" s="13">
        <f t="shared" si="141"/>
        <v>0</v>
      </c>
      <c r="BK248" s="13"/>
      <c r="BL248" s="13">
        <v>96</v>
      </c>
      <c r="BW248" s="13">
        <v>21</v>
      </c>
    </row>
    <row r="249" spans="1:75" ht="13.5" customHeight="1" x14ac:dyDescent="0.25">
      <c r="A249" s="1" t="s">
        <v>627</v>
      </c>
      <c r="B249" s="2" t="s">
        <v>26</v>
      </c>
      <c r="C249" s="2" t="s">
        <v>628</v>
      </c>
      <c r="D249" s="95" t="s">
        <v>629</v>
      </c>
      <c r="E249" s="88"/>
      <c r="F249" s="2" t="s">
        <v>107</v>
      </c>
      <c r="G249" s="13">
        <v>6</v>
      </c>
      <c r="H249" s="78">
        <v>0</v>
      </c>
      <c r="I249" s="13">
        <f t="shared" si="122"/>
        <v>0</v>
      </c>
      <c r="K249" s="34"/>
      <c r="Z249" s="13">
        <f t="shared" si="123"/>
        <v>0</v>
      </c>
      <c r="AB249" s="13">
        <f t="shared" si="124"/>
        <v>0</v>
      </c>
      <c r="AC249" s="13">
        <f t="shared" si="125"/>
        <v>0</v>
      </c>
      <c r="AD249" s="13">
        <f t="shared" si="126"/>
        <v>0</v>
      </c>
      <c r="AE249" s="13">
        <f t="shared" si="127"/>
        <v>0</v>
      </c>
      <c r="AF249" s="13">
        <f t="shared" si="128"/>
        <v>0</v>
      </c>
      <c r="AG249" s="13">
        <f t="shared" si="129"/>
        <v>0</v>
      </c>
      <c r="AH249" s="13">
        <f t="shared" si="130"/>
        <v>0</v>
      </c>
      <c r="AI249" s="30" t="s">
        <v>26</v>
      </c>
      <c r="AJ249" s="13">
        <f t="shared" si="131"/>
        <v>0</v>
      </c>
      <c r="AK249" s="13">
        <f t="shared" si="132"/>
        <v>0</v>
      </c>
      <c r="AL249" s="13">
        <f t="shared" si="133"/>
        <v>0</v>
      </c>
      <c r="AN249" s="13">
        <v>21</v>
      </c>
      <c r="AO249" s="13">
        <f>H249*0</f>
        <v>0</v>
      </c>
      <c r="AP249" s="13">
        <f>H249*(1-0)</f>
        <v>0</v>
      </c>
      <c r="AQ249" s="79" t="s">
        <v>23</v>
      </c>
      <c r="AV249" s="13">
        <f t="shared" si="134"/>
        <v>0</v>
      </c>
      <c r="AW249" s="13">
        <f t="shared" si="135"/>
        <v>0</v>
      </c>
      <c r="AX249" s="13">
        <f t="shared" si="136"/>
        <v>0</v>
      </c>
      <c r="AY249" s="79" t="s">
        <v>862</v>
      </c>
      <c r="AZ249" s="79" t="s">
        <v>860</v>
      </c>
      <c r="BA249" s="30" t="s">
        <v>801</v>
      </c>
      <c r="BC249" s="13">
        <f t="shared" si="137"/>
        <v>0</v>
      </c>
      <c r="BD249" s="13">
        <f t="shared" si="138"/>
        <v>0</v>
      </c>
      <c r="BE249" s="13">
        <v>0</v>
      </c>
      <c r="BF249" s="13">
        <f>249</f>
        <v>249</v>
      </c>
      <c r="BH249" s="13">
        <f t="shared" si="139"/>
        <v>0</v>
      </c>
      <c r="BI249" s="13">
        <f t="shared" si="140"/>
        <v>0</v>
      </c>
      <c r="BJ249" s="13">
        <f t="shared" si="141"/>
        <v>0</v>
      </c>
      <c r="BK249" s="13"/>
      <c r="BL249" s="13">
        <v>96</v>
      </c>
      <c r="BW249" s="13">
        <v>21</v>
      </c>
    </row>
    <row r="250" spans="1:75" x14ac:dyDescent="0.25">
      <c r="A250" s="75" t="s">
        <v>20</v>
      </c>
      <c r="B250" s="29" t="s">
        <v>26</v>
      </c>
      <c r="C250" s="29" t="s">
        <v>390</v>
      </c>
      <c r="D250" s="183" t="s">
        <v>630</v>
      </c>
      <c r="E250" s="112"/>
      <c r="F250" s="76" t="s">
        <v>13</v>
      </c>
      <c r="G250" s="76" t="s">
        <v>13</v>
      </c>
      <c r="H250" s="77" t="s">
        <v>13</v>
      </c>
      <c r="I250" s="61">
        <f>SUM(I251:I254)</f>
        <v>0</v>
      </c>
      <c r="K250" s="34"/>
      <c r="AI250" s="30" t="s">
        <v>26</v>
      </c>
      <c r="AS250" s="61">
        <f>SUM(AJ251:AJ254)</f>
        <v>0</v>
      </c>
      <c r="AT250" s="61">
        <f>SUM(AK251:AK254)</f>
        <v>0</v>
      </c>
      <c r="AU250" s="61">
        <f>SUM(AL251:AL254)</f>
        <v>0</v>
      </c>
    </row>
    <row r="251" spans="1:75" ht="13.5" customHeight="1" x14ac:dyDescent="0.25">
      <c r="A251" s="1" t="s">
        <v>631</v>
      </c>
      <c r="B251" s="2" t="s">
        <v>26</v>
      </c>
      <c r="C251" s="2" t="s">
        <v>632</v>
      </c>
      <c r="D251" s="95" t="s">
        <v>633</v>
      </c>
      <c r="E251" s="88"/>
      <c r="F251" s="2" t="s">
        <v>127</v>
      </c>
      <c r="G251" s="13">
        <v>47</v>
      </c>
      <c r="H251" s="78">
        <v>0</v>
      </c>
      <c r="I251" s="13">
        <f>G251*H251</f>
        <v>0</v>
      </c>
      <c r="K251" s="34"/>
      <c r="Z251" s="13">
        <f>IF(AQ251="5",BJ251,0)</f>
        <v>0</v>
      </c>
      <c r="AB251" s="13">
        <f>IF(AQ251="1",BH251,0)</f>
        <v>0</v>
      </c>
      <c r="AC251" s="13">
        <f>IF(AQ251="1",BI251,0)</f>
        <v>0</v>
      </c>
      <c r="AD251" s="13">
        <f>IF(AQ251="7",BH251,0)</f>
        <v>0</v>
      </c>
      <c r="AE251" s="13">
        <f>IF(AQ251="7",BI251,0)</f>
        <v>0</v>
      </c>
      <c r="AF251" s="13">
        <f>IF(AQ251="2",BH251,0)</f>
        <v>0</v>
      </c>
      <c r="AG251" s="13">
        <f>IF(AQ251="2",BI251,0)</f>
        <v>0</v>
      </c>
      <c r="AH251" s="13">
        <f>IF(AQ251="0",BJ251,0)</f>
        <v>0</v>
      </c>
      <c r="AI251" s="30" t="s">
        <v>26</v>
      </c>
      <c r="AJ251" s="13">
        <f>IF(AN251=0,I251,0)</f>
        <v>0</v>
      </c>
      <c r="AK251" s="13">
        <f>IF(AN251=12,I251,0)</f>
        <v>0</v>
      </c>
      <c r="AL251" s="13">
        <f>IF(AN251=21,I251,0)</f>
        <v>0</v>
      </c>
      <c r="AN251" s="13">
        <v>21</v>
      </c>
      <c r="AO251" s="13">
        <f>H251*0.073214286</f>
        <v>0</v>
      </c>
      <c r="AP251" s="13">
        <f>H251*(1-0.073214286)</f>
        <v>0</v>
      </c>
      <c r="AQ251" s="79" t="s">
        <v>23</v>
      </c>
      <c r="AV251" s="13">
        <f>AW251+AX251</f>
        <v>0</v>
      </c>
      <c r="AW251" s="13">
        <f>G251*AO251</f>
        <v>0</v>
      </c>
      <c r="AX251" s="13">
        <f>G251*AP251</f>
        <v>0</v>
      </c>
      <c r="AY251" s="79" t="s">
        <v>865</v>
      </c>
      <c r="AZ251" s="79" t="s">
        <v>860</v>
      </c>
      <c r="BA251" s="30" t="s">
        <v>801</v>
      </c>
      <c r="BC251" s="13">
        <f>AW251+AX251</f>
        <v>0</v>
      </c>
      <c r="BD251" s="13">
        <f>H251/(100-BE251)*100</f>
        <v>0</v>
      </c>
      <c r="BE251" s="13">
        <v>0</v>
      </c>
      <c r="BF251" s="13">
        <f>251</f>
        <v>251</v>
      </c>
      <c r="BH251" s="13">
        <f>G251*AO251</f>
        <v>0</v>
      </c>
      <c r="BI251" s="13">
        <f>G251*AP251</f>
        <v>0</v>
      </c>
      <c r="BJ251" s="13">
        <f>G251*H251</f>
        <v>0</v>
      </c>
      <c r="BK251" s="13"/>
      <c r="BL251" s="13">
        <v>97</v>
      </c>
      <c r="BW251" s="13">
        <v>21</v>
      </c>
    </row>
    <row r="252" spans="1:75" ht="13.5" customHeight="1" x14ac:dyDescent="0.25">
      <c r="A252" s="1" t="s">
        <v>634</v>
      </c>
      <c r="B252" s="2" t="s">
        <v>26</v>
      </c>
      <c r="C252" s="2" t="s">
        <v>635</v>
      </c>
      <c r="D252" s="95" t="s">
        <v>636</v>
      </c>
      <c r="E252" s="88"/>
      <c r="F252" s="2" t="s">
        <v>91</v>
      </c>
      <c r="G252" s="13">
        <v>119.0031</v>
      </c>
      <c r="H252" s="78">
        <v>0</v>
      </c>
      <c r="I252" s="13">
        <f>G252*H252</f>
        <v>0</v>
      </c>
      <c r="K252" s="34"/>
      <c r="Z252" s="13">
        <f>IF(AQ252="5",BJ252,0)</f>
        <v>0</v>
      </c>
      <c r="AB252" s="13">
        <f>IF(AQ252="1",BH252,0)</f>
        <v>0</v>
      </c>
      <c r="AC252" s="13">
        <f>IF(AQ252="1",BI252,0)</f>
        <v>0</v>
      </c>
      <c r="AD252" s="13">
        <f>IF(AQ252="7",BH252,0)</f>
        <v>0</v>
      </c>
      <c r="AE252" s="13">
        <f>IF(AQ252="7",BI252,0)</f>
        <v>0</v>
      </c>
      <c r="AF252" s="13">
        <f>IF(AQ252="2",BH252,0)</f>
        <v>0</v>
      </c>
      <c r="AG252" s="13">
        <f>IF(AQ252="2",BI252,0)</f>
        <v>0</v>
      </c>
      <c r="AH252" s="13">
        <f>IF(AQ252="0",BJ252,0)</f>
        <v>0</v>
      </c>
      <c r="AI252" s="30" t="s">
        <v>26</v>
      </c>
      <c r="AJ252" s="13">
        <f>IF(AN252=0,I252,0)</f>
        <v>0</v>
      </c>
      <c r="AK252" s="13">
        <f>IF(AN252=12,I252,0)</f>
        <v>0</v>
      </c>
      <c r="AL252" s="13">
        <f>IF(AN252=21,I252,0)</f>
        <v>0</v>
      </c>
      <c r="AN252" s="13">
        <v>21</v>
      </c>
      <c r="AO252" s="13">
        <f>H252*0</f>
        <v>0</v>
      </c>
      <c r="AP252" s="13">
        <f>H252*(1-0)</f>
        <v>0</v>
      </c>
      <c r="AQ252" s="79" t="s">
        <v>23</v>
      </c>
      <c r="AV252" s="13">
        <f>AW252+AX252</f>
        <v>0</v>
      </c>
      <c r="AW252" s="13">
        <f>G252*AO252</f>
        <v>0</v>
      </c>
      <c r="AX252" s="13">
        <f>G252*AP252</f>
        <v>0</v>
      </c>
      <c r="AY252" s="79" t="s">
        <v>865</v>
      </c>
      <c r="AZ252" s="79" t="s">
        <v>860</v>
      </c>
      <c r="BA252" s="30" t="s">
        <v>801</v>
      </c>
      <c r="BC252" s="13">
        <f>AW252+AX252</f>
        <v>0</v>
      </c>
      <c r="BD252" s="13">
        <f>H252/(100-BE252)*100</f>
        <v>0</v>
      </c>
      <c r="BE252" s="13">
        <v>0</v>
      </c>
      <c r="BF252" s="13">
        <f>252</f>
        <v>252</v>
      </c>
      <c r="BH252" s="13">
        <f>G252*AO252</f>
        <v>0</v>
      </c>
      <c r="BI252" s="13">
        <f>G252*AP252</f>
        <v>0</v>
      </c>
      <c r="BJ252" s="13">
        <f>G252*H252</f>
        <v>0</v>
      </c>
      <c r="BK252" s="13"/>
      <c r="BL252" s="13">
        <v>97</v>
      </c>
      <c r="BW252" s="13">
        <v>21</v>
      </c>
    </row>
    <row r="253" spans="1:75" ht="13.5" customHeight="1" x14ac:dyDescent="0.25">
      <c r="A253" s="1" t="s">
        <v>637</v>
      </c>
      <c r="B253" s="2" t="s">
        <v>26</v>
      </c>
      <c r="C253" s="2" t="s">
        <v>638</v>
      </c>
      <c r="D253" s="95" t="s">
        <v>639</v>
      </c>
      <c r="E253" s="88"/>
      <c r="F253" s="2" t="s">
        <v>127</v>
      </c>
      <c r="G253" s="13">
        <v>3</v>
      </c>
      <c r="H253" s="78">
        <v>0</v>
      </c>
      <c r="I253" s="13">
        <f>G253*H253</f>
        <v>0</v>
      </c>
      <c r="K253" s="34"/>
      <c r="Z253" s="13">
        <f>IF(AQ253="5",BJ253,0)</f>
        <v>0</v>
      </c>
      <c r="AB253" s="13">
        <f>IF(AQ253="1",BH253,0)</f>
        <v>0</v>
      </c>
      <c r="AC253" s="13">
        <f>IF(AQ253="1",BI253,0)</f>
        <v>0</v>
      </c>
      <c r="AD253" s="13">
        <f>IF(AQ253="7",BH253,0)</f>
        <v>0</v>
      </c>
      <c r="AE253" s="13">
        <f>IF(AQ253="7",BI253,0)</f>
        <v>0</v>
      </c>
      <c r="AF253" s="13">
        <f>IF(AQ253="2",BH253,0)</f>
        <v>0</v>
      </c>
      <c r="AG253" s="13">
        <f>IF(AQ253="2",BI253,0)</f>
        <v>0</v>
      </c>
      <c r="AH253" s="13">
        <f>IF(AQ253="0",BJ253,0)</f>
        <v>0</v>
      </c>
      <c r="AI253" s="30" t="s">
        <v>26</v>
      </c>
      <c r="AJ253" s="13">
        <f>IF(AN253=0,I253,0)</f>
        <v>0</v>
      </c>
      <c r="AK253" s="13">
        <f>IF(AN253=12,I253,0)</f>
        <v>0</v>
      </c>
      <c r="AL253" s="13">
        <f>IF(AN253=21,I253,0)</f>
        <v>0</v>
      </c>
      <c r="AN253" s="13">
        <v>21</v>
      </c>
      <c r="AO253" s="13">
        <f>H253*0.284534483</f>
        <v>0</v>
      </c>
      <c r="AP253" s="13">
        <f>H253*(1-0.284534483)</f>
        <v>0</v>
      </c>
      <c r="AQ253" s="79" t="s">
        <v>23</v>
      </c>
      <c r="AV253" s="13">
        <f>AW253+AX253</f>
        <v>0</v>
      </c>
      <c r="AW253" s="13">
        <f>G253*AO253</f>
        <v>0</v>
      </c>
      <c r="AX253" s="13">
        <f>G253*AP253</f>
        <v>0</v>
      </c>
      <c r="AY253" s="79" t="s">
        <v>865</v>
      </c>
      <c r="AZ253" s="79" t="s">
        <v>860</v>
      </c>
      <c r="BA253" s="30" t="s">
        <v>801</v>
      </c>
      <c r="BC253" s="13">
        <f>AW253+AX253</f>
        <v>0</v>
      </c>
      <c r="BD253" s="13">
        <f>H253/(100-BE253)*100</f>
        <v>0</v>
      </c>
      <c r="BE253" s="13">
        <v>0</v>
      </c>
      <c r="BF253" s="13">
        <f>253</f>
        <v>253</v>
      </c>
      <c r="BH253" s="13">
        <f>G253*AO253</f>
        <v>0</v>
      </c>
      <c r="BI253" s="13">
        <f>G253*AP253</f>
        <v>0</v>
      </c>
      <c r="BJ253" s="13">
        <f>G253*H253</f>
        <v>0</v>
      </c>
      <c r="BK253" s="13"/>
      <c r="BL253" s="13">
        <v>97</v>
      </c>
      <c r="BW253" s="13">
        <v>21</v>
      </c>
    </row>
    <row r="254" spans="1:75" ht="13.5" customHeight="1" x14ac:dyDescent="0.25">
      <c r="A254" s="1" t="s">
        <v>640</v>
      </c>
      <c r="B254" s="2" t="s">
        <v>26</v>
      </c>
      <c r="C254" s="2" t="s">
        <v>641</v>
      </c>
      <c r="D254" s="95" t="s">
        <v>642</v>
      </c>
      <c r="E254" s="88"/>
      <c r="F254" s="2" t="s">
        <v>127</v>
      </c>
      <c r="G254" s="13">
        <v>4.2</v>
      </c>
      <c r="H254" s="78">
        <v>0</v>
      </c>
      <c r="I254" s="13">
        <f>G254*H254</f>
        <v>0</v>
      </c>
      <c r="K254" s="34"/>
      <c r="Z254" s="13">
        <f>IF(AQ254="5",BJ254,0)</f>
        <v>0</v>
      </c>
      <c r="AB254" s="13">
        <f>IF(AQ254="1",BH254,0)</f>
        <v>0</v>
      </c>
      <c r="AC254" s="13">
        <f>IF(AQ254="1",BI254,0)</f>
        <v>0</v>
      </c>
      <c r="AD254" s="13">
        <f>IF(AQ254="7",BH254,0)</f>
        <v>0</v>
      </c>
      <c r="AE254" s="13">
        <f>IF(AQ254="7",BI254,0)</f>
        <v>0</v>
      </c>
      <c r="AF254" s="13">
        <f>IF(AQ254="2",BH254,0)</f>
        <v>0</v>
      </c>
      <c r="AG254" s="13">
        <f>IF(AQ254="2",BI254,0)</f>
        <v>0</v>
      </c>
      <c r="AH254" s="13">
        <f>IF(AQ254="0",BJ254,0)</f>
        <v>0</v>
      </c>
      <c r="AI254" s="30" t="s">
        <v>26</v>
      </c>
      <c r="AJ254" s="13">
        <f>IF(AN254=0,I254,0)</f>
        <v>0</v>
      </c>
      <c r="AK254" s="13">
        <f>IF(AN254=12,I254,0)</f>
        <v>0</v>
      </c>
      <c r="AL254" s="13">
        <f>IF(AN254=21,I254,0)</f>
        <v>0</v>
      </c>
      <c r="AN254" s="13">
        <v>21</v>
      </c>
      <c r="AO254" s="13">
        <f>H254*0</f>
        <v>0</v>
      </c>
      <c r="AP254" s="13">
        <f>H254*(1-0)</f>
        <v>0</v>
      </c>
      <c r="AQ254" s="79" t="s">
        <v>23</v>
      </c>
      <c r="AV254" s="13">
        <f>AW254+AX254</f>
        <v>0</v>
      </c>
      <c r="AW254" s="13">
        <f>G254*AO254</f>
        <v>0</v>
      </c>
      <c r="AX254" s="13">
        <f>G254*AP254</f>
        <v>0</v>
      </c>
      <c r="AY254" s="79" t="s">
        <v>865</v>
      </c>
      <c r="AZ254" s="79" t="s">
        <v>860</v>
      </c>
      <c r="BA254" s="30" t="s">
        <v>801</v>
      </c>
      <c r="BC254" s="13">
        <f>AW254+AX254</f>
        <v>0</v>
      </c>
      <c r="BD254" s="13">
        <f>H254/(100-BE254)*100</f>
        <v>0</v>
      </c>
      <c r="BE254" s="13">
        <v>0</v>
      </c>
      <c r="BF254" s="13">
        <f>254</f>
        <v>254</v>
      </c>
      <c r="BH254" s="13">
        <f>G254*AO254</f>
        <v>0</v>
      </c>
      <c r="BI254" s="13">
        <f>G254*AP254</f>
        <v>0</v>
      </c>
      <c r="BJ254" s="13">
        <f>G254*H254</f>
        <v>0</v>
      </c>
      <c r="BK254" s="13"/>
      <c r="BL254" s="13">
        <v>97</v>
      </c>
      <c r="BW254" s="13">
        <v>21</v>
      </c>
    </row>
    <row r="255" spans="1:75" x14ac:dyDescent="0.25">
      <c r="A255" s="75" t="s">
        <v>20</v>
      </c>
      <c r="B255" s="29" t="s">
        <v>26</v>
      </c>
      <c r="C255" s="29" t="s">
        <v>644</v>
      </c>
      <c r="D255" s="183" t="s">
        <v>645</v>
      </c>
      <c r="E255" s="112"/>
      <c r="F255" s="76" t="s">
        <v>13</v>
      </c>
      <c r="G255" s="76" t="s">
        <v>13</v>
      </c>
      <c r="H255" s="77" t="s">
        <v>13</v>
      </c>
      <c r="I255" s="61">
        <f>SUM(I256:I256)</f>
        <v>0</v>
      </c>
      <c r="K255" s="34"/>
      <c r="AI255" s="30" t="s">
        <v>26</v>
      </c>
      <c r="AS255" s="61">
        <f>SUM(AJ256:AJ256)</f>
        <v>0</v>
      </c>
      <c r="AT255" s="61">
        <f>SUM(AK256:AK256)</f>
        <v>0</v>
      </c>
      <c r="AU255" s="61">
        <f>SUM(AL256:AL256)</f>
        <v>0</v>
      </c>
    </row>
    <row r="256" spans="1:75" ht="13.5" customHeight="1" x14ac:dyDescent="0.25">
      <c r="A256" s="1" t="s">
        <v>646</v>
      </c>
      <c r="B256" s="2" t="s">
        <v>26</v>
      </c>
      <c r="C256" s="2" t="s">
        <v>647</v>
      </c>
      <c r="D256" s="95" t="s">
        <v>648</v>
      </c>
      <c r="E256" s="88"/>
      <c r="F256" s="2" t="s">
        <v>649</v>
      </c>
      <c r="G256" s="13">
        <v>11.219900000000001</v>
      </c>
      <c r="H256" s="78">
        <v>0</v>
      </c>
      <c r="I256" s="13">
        <f>G256*H256</f>
        <v>0</v>
      </c>
      <c r="K256" s="34"/>
      <c r="Z256" s="13">
        <f>IF(AQ256="5",BJ256,0)</f>
        <v>0</v>
      </c>
      <c r="AB256" s="13">
        <f>IF(AQ256="1",BH256,0)</f>
        <v>0</v>
      </c>
      <c r="AC256" s="13">
        <f>IF(AQ256="1",BI256,0)</f>
        <v>0</v>
      </c>
      <c r="AD256" s="13">
        <f>IF(AQ256="7",BH256,0)</f>
        <v>0</v>
      </c>
      <c r="AE256" s="13">
        <f>IF(AQ256="7",BI256,0)</f>
        <v>0</v>
      </c>
      <c r="AF256" s="13">
        <f>IF(AQ256="2",BH256,0)</f>
        <v>0</v>
      </c>
      <c r="AG256" s="13">
        <f>IF(AQ256="2",BI256,0)</f>
        <v>0</v>
      </c>
      <c r="AH256" s="13">
        <f>IF(AQ256="0",BJ256,0)</f>
        <v>0</v>
      </c>
      <c r="AI256" s="30" t="s">
        <v>26</v>
      </c>
      <c r="AJ256" s="13">
        <f>IF(AN256=0,I256,0)</f>
        <v>0</v>
      </c>
      <c r="AK256" s="13">
        <f>IF(AN256=12,I256,0)</f>
        <v>0</v>
      </c>
      <c r="AL256" s="13">
        <f>IF(AN256=21,I256,0)</f>
        <v>0</v>
      </c>
      <c r="AN256" s="13">
        <v>21</v>
      </c>
      <c r="AO256" s="13">
        <f>H256*0</f>
        <v>0</v>
      </c>
      <c r="AP256" s="13">
        <f>H256*(1-0)</f>
        <v>0</v>
      </c>
      <c r="AQ256" s="79" t="s">
        <v>70</v>
      </c>
      <c r="AV256" s="13">
        <f>AW256+AX256</f>
        <v>0</v>
      </c>
      <c r="AW256" s="13">
        <f>G256*AO256</f>
        <v>0</v>
      </c>
      <c r="AX256" s="13">
        <f>G256*AP256</f>
        <v>0</v>
      </c>
      <c r="AY256" s="79" t="s">
        <v>866</v>
      </c>
      <c r="AZ256" s="79" t="s">
        <v>860</v>
      </c>
      <c r="BA256" s="30" t="s">
        <v>801</v>
      </c>
      <c r="BC256" s="13">
        <f>AW256+AX256</f>
        <v>0</v>
      </c>
      <c r="BD256" s="13">
        <f>H256/(100-BE256)*100</f>
        <v>0</v>
      </c>
      <c r="BE256" s="13">
        <v>0</v>
      </c>
      <c r="BF256" s="13">
        <f>256</f>
        <v>256</v>
      </c>
      <c r="BH256" s="13">
        <f>G256*AO256</f>
        <v>0</v>
      </c>
      <c r="BI256" s="13">
        <f>G256*AP256</f>
        <v>0</v>
      </c>
      <c r="BJ256" s="13">
        <f>G256*H256</f>
        <v>0</v>
      </c>
      <c r="BK256" s="13"/>
      <c r="BL256" s="13"/>
      <c r="BW256" s="13">
        <v>21</v>
      </c>
    </row>
    <row r="257" spans="1:75" x14ac:dyDescent="0.25">
      <c r="A257" s="75" t="s">
        <v>20</v>
      </c>
      <c r="B257" s="29" t="s">
        <v>26</v>
      </c>
      <c r="C257" s="29" t="s">
        <v>650</v>
      </c>
      <c r="D257" s="183" t="s">
        <v>651</v>
      </c>
      <c r="E257" s="112"/>
      <c r="F257" s="76" t="s">
        <v>13</v>
      </c>
      <c r="G257" s="76" t="s">
        <v>13</v>
      </c>
      <c r="H257" s="77" t="s">
        <v>13</v>
      </c>
      <c r="I257" s="61">
        <f>SUM(I258:I258)</f>
        <v>0</v>
      </c>
      <c r="K257" s="34"/>
      <c r="AI257" s="30" t="s">
        <v>26</v>
      </c>
      <c r="AS257" s="61">
        <f>SUM(AJ258:AJ258)</f>
        <v>0</v>
      </c>
      <c r="AT257" s="61">
        <f>SUM(AK258:AK258)</f>
        <v>0</v>
      </c>
      <c r="AU257" s="61">
        <f>SUM(AL258:AL258)</f>
        <v>0</v>
      </c>
    </row>
    <row r="258" spans="1:75" ht="13.5" customHeight="1" x14ac:dyDescent="0.25">
      <c r="A258" s="1" t="s">
        <v>652</v>
      </c>
      <c r="B258" s="2" t="s">
        <v>26</v>
      </c>
      <c r="C258" s="2" t="s">
        <v>650</v>
      </c>
      <c r="D258" s="95" t="s">
        <v>653</v>
      </c>
      <c r="E258" s="88"/>
      <c r="F258" s="2" t="s">
        <v>61</v>
      </c>
      <c r="G258" s="13">
        <v>1</v>
      </c>
      <c r="H258" s="78">
        <v>0</v>
      </c>
      <c r="I258" s="13">
        <f>G258*H258</f>
        <v>0</v>
      </c>
      <c r="K258" s="34"/>
      <c r="Z258" s="13">
        <f>IF(AQ258="5",BJ258,0)</f>
        <v>0</v>
      </c>
      <c r="AB258" s="13">
        <f>IF(AQ258="1",BH258,0)</f>
        <v>0</v>
      </c>
      <c r="AC258" s="13">
        <f>IF(AQ258="1",BI258,0)</f>
        <v>0</v>
      </c>
      <c r="AD258" s="13">
        <f>IF(AQ258="7",BH258,0)</f>
        <v>0</v>
      </c>
      <c r="AE258" s="13">
        <f>IF(AQ258="7",BI258,0)</f>
        <v>0</v>
      </c>
      <c r="AF258" s="13">
        <f>IF(AQ258="2",BH258,0)</f>
        <v>0</v>
      </c>
      <c r="AG258" s="13">
        <f>IF(AQ258="2",BI258,0)</f>
        <v>0</v>
      </c>
      <c r="AH258" s="13">
        <f>IF(AQ258="0",BJ258,0)</f>
        <v>0</v>
      </c>
      <c r="AI258" s="30" t="s">
        <v>26</v>
      </c>
      <c r="AJ258" s="13">
        <f>IF(AN258=0,I258,0)</f>
        <v>0</v>
      </c>
      <c r="AK258" s="13">
        <f>IF(AN258=12,I258,0)</f>
        <v>0</v>
      </c>
      <c r="AL258" s="13">
        <f>IF(AN258=21,I258,0)</f>
        <v>0</v>
      </c>
      <c r="AN258" s="13">
        <v>21</v>
      </c>
      <c r="AO258" s="13">
        <f>H258*0</f>
        <v>0</v>
      </c>
      <c r="AP258" s="13">
        <f>H258*(1-0)</f>
        <v>0</v>
      </c>
      <c r="AQ258" s="79" t="s">
        <v>23</v>
      </c>
      <c r="AV258" s="13">
        <f>AW258+AX258</f>
        <v>0</v>
      </c>
      <c r="AW258" s="13">
        <f>G258*AO258</f>
        <v>0</v>
      </c>
      <c r="AX258" s="13">
        <f>G258*AP258</f>
        <v>0</v>
      </c>
      <c r="AY258" s="79" t="s">
        <v>867</v>
      </c>
      <c r="AZ258" s="79" t="s">
        <v>860</v>
      </c>
      <c r="BA258" s="30" t="s">
        <v>801</v>
      </c>
      <c r="BC258" s="13">
        <f>AW258+AX258</f>
        <v>0</v>
      </c>
      <c r="BD258" s="13">
        <f>H258/(100-BE258)*100</f>
        <v>0</v>
      </c>
      <c r="BE258" s="13">
        <v>0</v>
      </c>
      <c r="BF258" s="13">
        <f>258</f>
        <v>258</v>
      </c>
      <c r="BH258" s="13">
        <f>G258*AO258</f>
        <v>0</v>
      </c>
      <c r="BI258" s="13">
        <f>G258*AP258</f>
        <v>0</v>
      </c>
      <c r="BJ258" s="13">
        <f>G258*H258</f>
        <v>0</v>
      </c>
      <c r="BK258" s="13"/>
      <c r="BL258" s="13"/>
      <c r="BW258" s="13">
        <v>21</v>
      </c>
    </row>
    <row r="259" spans="1:75" x14ac:dyDescent="0.25">
      <c r="A259" s="75" t="s">
        <v>20</v>
      </c>
      <c r="B259" s="29" t="s">
        <v>26</v>
      </c>
      <c r="C259" s="29" t="s">
        <v>654</v>
      </c>
      <c r="D259" s="183" t="s">
        <v>655</v>
      </c>
      <c r="E259" s="112"/>
      <c r="F259" s="76" t="s">
        <v>13</v>
      </c>
      <c r="G259" s="76" t="s">
        <v>13</v>
      </c>
      <c r="H259" s="77" t="s">
        <v>13</v>
      </c>
      <c r="I259" s="61">
        <f>SUM(I260:I266)</f>
        <v>0</v>
      </c>
      <c r="K259" s="34"/>
      <c r="AI259" s="30" t="s">
        <v>26</v>
      </c>
      <c r="AS259" s="61">
        <f>SUM(AJ260:AJ266)</f>
        <v>0</v>
      </c>
      <c r="AT259" s="61">
        <f>SUM(AK260:AK266)</f>
        <v>0</v>
      </c>
      <c r="AU259" s="61">
        <f>SUM(AL260:AL266)</f>
        <v>0</v>
      </c>
    </row>
    <row r="260" spans="1:75" ht="13.5" customHeight="1" x14ac:dyDescent="0.25">
      <c r="A260" s="1" t="s">
        <v>656</v>
      </c>
      <c r="B260" s="2" t="s">
        <v>26</v>
      </c>
      <c r="C260" s="2" t="s">
        <v>657</v>
      </c>
      <c r="D260" s="95" t="s">
        <v>658</v>
      </c>
      <c r="E260" s="88"/>
      <c r="F260" s="2" t="s">
        <v>649</v>
      </c>
      <c r="G260" s="13">
        <v>28.627199999999998</v>
      </c>
      <c r="H260" s="78">
        <v>0</v>
      </c>
      <c r="I260" s="13">
        <f t="shared" ref="I260:I266" si="142">G260*H260</f>
        <v>0</v>
      </c>
      <c r="K260" s="34"/>
      <c r="Z260" s="13">
        <f t="shared" ref="Z260:Z266" si="143">IF(AQ260="5",BJ260,0)</f>
        <v>0</v>
      </c>
      <c r="AB260" s="13">
        <f t="shared" ref="AB260:AB266" si="144">IF(AQ260="1",BH260,0)</f>
        <v>0</v>
      </c>
      <c r="AC260" s="13">
        <f t="shared" ref="AC260:AC266" si="145">IF(AQ260="1",BI260,0)</f>
        <v>0</v>
      </c>
      <c r="AD260" s="13">
        <f t="shared" ref="AD260:AD266" si="146">IF(AQ260="7",BH260,0)</f>
        <v>0</v>
      </c>
      <c r="AE260" s="13">
        <f t="shared" ref="AE260:AE266" si="147">IF(AQ260="7",BI260,0)</f>
        <v>0</v>
      </c>
      <c r="AF260" s="13">
        <f t="shared" ref="AF260:AF266" si="148">IF(AQ260="2",BH260,0)</f>
        <v>0</v>
      </c>
      <c r="AG260" s="13">
        <f t="shared" ref="AG260:AG266" si="149">IF(AQ260="2",BI260,0)</f>
        <v>0</v>
      </c>
      <c r="AH260" s="13">
        <f t="shared" ref="AH260:AH266" si="150">IF(AQ260="0",BJ260,0)</f>
        <v>0</v>
      </c>
      <c r="AI260" s="30" t="s">
        <v>26</v>
      </c>
      <c r="AJ260" s="13">
        <f t="shared" ref="AJ260:AJ266" si="151">IF(AN260=0,I260,0)</f>
        <v>0</v>
      </c>
      <c r="AK260" s="13">
        <f t="shared" ref="AK260:AK266" si="152">IF(AN260=12,I260,0)</f>
        <v>0</v>
      </c>
      <c r="AL260" s="13">
        <f t="shared" ref="AL260:AL266" si="153">IF(AN260=21,I260,0)</f>
        <v>0</v>
      </c>
      <c r="AN260" s="13">
        <v>21</v>
      </c>
      <c r="AO260" s="13">
        <f>H260*0</f>
        <v>0</v>
      </c>
      <c r="AP260" s="13">
        <f>H260*(1-0)</f>
        <v>0</v>
      </c>
      <c r="AQ260" s="79" t="s">
        <v>70</v>
      </c>
      <c r="AV260" s="13">
        <f t="shared" ref="AV260:AV266" si="154">AW260+AX260</f>
        <v>0</v>
      </c>
      <c r="AW260" s="13">
        <f t="shared" ref="AW260:AW266" si="155">G260*AO260</f>
        <v>0</v>
      </c>
      <c r="AX260" s="13">
        <f t="shared" ref="AX260:AX266" si="156">G260*AP260</f>
        <v>0</v>
      </c>
      <c r="AY260" s="79" t="s">
        <v>868</v>
      </c>
      <c r="AZ260" s="79" t="s">
        <v>860</v>
      </c>
      <c r="BA260" s="30" t="s">
        <v>801</v>
      </c>
      <c r="BC260" s="13">
        <f t="shared" ref="BC260:BC266" si="157">AW260+AX260</f>
        <v>0</v>
      </c>
      <c r="BD260" s="13">
        <f t="shared" ref="BD260:BD266" si="158">H260/(100-BE260)*100</f>
        <v>0</v>
      </c>
      <c r="BE260" s="13">
        <v>0</v>
      </c>
      <c r="BF260" s="13">
        <f>260</f>
        <v>260</v>
      </c>
      <c r="BH260" s="13">
        <f t="shared" ref="BH260:BH266" si="159">G260*AO260</f>
        <v>0</v>
      </c>
      <c r="BI260" s="13">
        <f t="shared" ref="BI260:BI266" si="160">G260*AP260</f>
        <v>0</v>
      </c>
      <c r="BJ260" s="13">
        <f t="shared" ref="BJ260:BJ266" si="161">G260*H260</f>
        <v>0</v>
      </c>
      <c r="BK260" s="13"/>
      <c r="BL260" s="13"/>
      <c r="BW260" s="13">
        <v>21</v>
      </c>
    </row>
    <row r="261" spans="1:75" ht="13.5" customHeight="1" x14ac:dyDescent="0.25">
      <c r="A261" s="1" t="s">
        <v>659</v>
      </c>
      <c r="B261" s="2" t="s">
        <v>26</v>
      </c>
      <c r="C261" s="2" t="s">
        <v>660</v>
      </c>
      <c r="D261" s="95" t="s">
        <v>661</v>
      </c>
      <c r="E261" s="88"/>
      <c r="F261" s="2" t="s">
        <v>649</v>
      </c>
      <c r="G261" s="13">
        <v>28.627199999999998</v>
      </c>
      <c r="H261" s="78">
        <v>0</v>
      </c>
      <c r="I261" s="13">
        <f t="shared" si="142"/>
        <v>0</v>
      </c>
      <c r="K261" s="34"/>
      <c r="Z261" s="13">
        <f t="shared" si="143"/>
        <v>0</v>
      </c>
      <c r="AB261" s="13">
        <f t="shared" si="144"/>
        <v>0</v>
      </c>
      <c r="AC261" s="13">
        <f t="shared" si="145"/>
        <v>0</v>
      </c>
      <c r="AD261" s="13">
        <f t="shared" si="146"/>
        <v>0</v>
      </c>
      <c r="AE261" s="13">
        <f t="shared" si="147"/>
        <v>0</v>
      </c>
      <c r="AF261" s="13">
        <f t="shared" si="148"/>
        <v>0</v>
      </c>
      <c r="AG261" s="13">
        <f t="shared" si="149"/>
        <v>0</v>
      </c>
      <c r="AH261" s="13">
        <f t="shared" si="150"/>
        <v>0</v>
      </c>
      <c r="AI261" s="30" t="s">
        <v>26</v>
      </c>
      <c r="AJ261" s="13">
        <f t="shared" si="151"/>
        <v>0</v>
      </c>
      <c r="AK261" s="13">
        <f t="shared" si="152"/>
        <v>0</v>
      </c>
      <c r="AL261" s="13">
        <f t="shared" si="153"/>
        <v>0</v>
      </c>
      <c r="AN261" s="13">
        <v>21</v>
      </c>
      <c r="AO261" s="13">
        <f>H261*0</f>
        <v>0</v>
      </c>
      <c r="AP261" s="13">
        <f>H261*(1-0)</f>
        <v>0</v>
      </c>
      <c r="AQ261" s="79" t="s">
        <v>70</v>
      </c>
      <c r="AV261" s="13">
        <f t="shared" si="154"/>
        <v>0</v>
      </c>
      <c r="AW261" s="13">
        <f t="shared" si="155"/>
        <v>0</v>
      </c>
      <c r="AX261" s="13">
        <f t="shared" si="156"/>
        <v>0</v>
      </c>
      <c r="AY261" s="79" t="s">
        <v>868</v>
      </c>
      <c r="AZ261" s="79" t="s">
        <v>860</v>
      </c>
      <c r="BA261" s="30" t="s">
        <v>801</v>
      </c>
      <c r="BC261" s="13">
        <f t="shared" si="157"/>
        <v>0</v>
      </c>
      <c r="BD261" s="13">
        <f t="shared" si="158"/>
        <v>0</v>
      </c>
      <c r="BE261" s="13">
        <v>0</v>
      </c>
      <c r="BF261" s="13">
        <f>261</f>
        <v>261</v>
      </c>
      <c r="BH261" s="13">
        <f t="shared" si="159"/>
        <v>0</v>
      </c>
      <c r="BI261" s="13">
        <f t="shared" si="160"/>
        <v>0</v>
      </c>
      <c r="BJ261" s="13">
        <f t="shared" si="161"/>
        <v>0</v>
      </c>
      <c r="BK261" s="13"/>
      <c r="BL261" s="13"/>
      <c r="BW261" s="13">
        <v>21</v>
      </c>
    </row>
    <row r="262" spans="1:75" ht="13.5" customHeight="1" x14ac:dyDescent="0.25">
      <c r="A262" s="1" t="s">
        <v>662</v>
      </c>
      <c r="B262" s="2" t="s">
        <v>26</v>
      </c>
      <c r="C262" s="2" t="s">
        <v>663</v>
      </c>
      <c r="D262" s="95" t="s">
        <v>664</v>
      </c>
      <c r="E262" s="88"/>
      <c r="F262" s="2" t="s">
        <v>649</v>
      </c>
      <c r="G262" s="13">
        <v>28.627199999999998</v>
      </c>
      <c r="H262" s="78">
        <v>0</v>
      </c>
      <c r="I262" s="13">
        <f t="shared" si="142"/>
        <v>0</v>
      </c>
      <c r="K262" s="34"/>
      <c r="Z262" s="13">
        <f t="shared" si="143"/>
        <v>0</v>
      </c>
      <c r="AB262" s="13">
        <f t="shared" si="144"/>
        <v>0</v>
      </c>
      <c r="AC262" s="13">
        <f t="shared" si="145"/>
        <v>0</v>
      </c>
      <c r="AD262" s="13">
        <f t="shared" si="146"/>
        <v>0</v>
      </c>
      <c r="AE262" s="13">
        <f t="shared" si="147"/>
        <v>0</v>
      </c>
      <c r="AF262" s="13">
        <f t="shared" si="148"/>
        <v>0</v>
      </c>
      <c r="AG262" s="13">
        <f t="shared" si="149"/>
        <v>0</v>
      </c>
      <c r="AH262" s="13">
        <f t="shared" si="150"/>
        <v>0</v>
      </c>
      <c r="AI262" s="30" t="s">
        <v>26</v>
      </c>
      <c r="AJ262" s="13">
        <f t="shared" si="151"/>
        <v>0</v>
      </c>
      <c r="AK262" s="13">
        <f t="shared" si="152"/>
        <v>0</v>
      </c>
      <c r="AL262" s="13">
        <f t="shared" si="153"/>
        <v>0</v>
      </c>
      <c r="AN262" s="13">
        <v>21</v>
      </c>
      <c r="AO262" s="13">
        <f>H262*0</f>
        <v>0</v>
      </c>
      <c r="AP262" s="13">
        <f>H262*(1-0)</f>
        <v>0</v>
      </c>
      <c r="AQ262" s="79" t="s">
        <v>70</v>
      </c>
      <c r="AV262" s="13">
        <f t="shared" si="154"/>
        <v>0</v>
      </c>
      <c r="AW262" s="13">
        <f t="shared" si="155"/>
        <v>0</v>
      </c>
      <c r="AX262" s="13">
        <f t="shared" si="156"/>
        <v>0</v>
      </c>
      <c r="AY262" s="79" t="s">
        <v>868</v>
      </c>
      <c r="AZ262" s="79" t="s">
        <v>860</v>
      </c>
      <c r="BA262" s="30" t="s">
        <v>801</v>
      </c>
      <c r="BC262" s="13">
        <f t="shared" si="157"/>
        <v>0</v>
      </c>
      <c r="BD262" s="13">
        <f t="shared" si="158"/>
        <v>0</v>
      </c>
      <c r="BE262" s="13">
        <v>0</v>
      </c>
      <c r="BF262" s="13">
        <f>262</f>
        <v>262</v>
      </c>
      <c r="BH262" s="13">
        <f t="shared" si="159"/>
        <v>0</v>
      </c>
      <c r="BI262" s="13">
        <f t="shared" si="160"/>
        <v>0</v>
      </c>
      <c r="BJ262" s="13">
        <f t="shared" si="161"/>
        <v>0</v>
      </c>
      <c r="BK262" s="13"/>
      <c r="BL262" s="13"/>
      <c r="BW262" s="13">
        <v>21</v>
      </c>
    </row>
    <row r="263" spans="1:75" ht="13.5" customHeight="1" x14ac:dyDescent="0.25">
      <c r="A263" s="1" t="s">
        <v>665</v>
      </c>
      <c r="B263" s="2" t="s">
        <v>26</v>
      </c>
      <c r="C263" s="2" t="s">
        <v>666</v>
      </c>
      <c r="D263" s="95" t="s">
        <v>667</v>
      </c>
      <c r="E263" s="88"/>
      <c r="F263" s="2" t="s">
        <v>649</v>
      </c>
      <c r="G263" s="13">
        <v>28.627199999999998</v>
      </c>
      <c r="H263" s="78">
        <v>0</v>
      </c>
      <c r="I263" s="13">
        <f t="shared" si="142"/>
        <v>0</v>
      </c>
      <c r="K263" s="34"/>
      <c r="Z263" s="13">
        <f t="shared" si="143"/>
        <v>0</v>
      </c>
      <c r="AB263" s="13">
        <f t="shared" si="144"/>
        <v>0</v>
      </c>
      <c r="AC263" s="13">
        <f t="shared" si="145"/>
        <v>0</v>
      </c>
      <c r="AD263" s="13">
        <f t="shared" si="146"/>
        <v>0</v>
      </c>
      <c r="AE263" s="13">
        <f t="shared" si="147"/>
        <v>0</v>
      </c>
      <c r="AF263" s="13">
        <f t="shared" si="148"/>
        <v>0</v>
      </c>
      <c r="AG263" s="13">
        <f t="shared" si="149"/>
        <v>0</v>
      </c>
      <c r="AH263" s="13">
        <f t="shared" si="150"/>
        <v>0</v>
      </c>
      <c r="AI263" s="30" t="s">
        <v>26</v>
      </c>
      <c r="AJ263" s="13">
        <f t="shared" si="151"/>
        <v>0</v>
      </c>
      <c r="AK263" s="13">
        <f t="shared" si="152"/>
        <v>0</v>
      </c>
      <c r="AL263" s="13">
        <f t="shared" si="153"/>
        <v>0</v>
      </c>
      <c r="AN263" s="13">
        <v>21</v>
      </c>
      <c r="AO263" s="13">
        <f>H263*0</f>
        <v>0</v>
      </c>
      <c r="AP263" s="13">
        <f>H263*(1-0)</f>
        <v>0</v>
      </c>
      <c r="AQ263" s="79" t="s">
        <v>70</v>
      </c>
      <c r="AV263" s="13">
        <f t="shared" si="154"/>
        <v>0</v>
      </c>
      <c r="AW263" s="13">
        <f t="shared" si="155"/>
        <v>0</v>
      </c>
      <c r="AX263" s="13">
        <f t="shared" si="156"/>
        <v>0</v>
      </c>
      <c r="AY263" s="79" t="s">
        <v>868</v>
      </c>
      <c r="AZ263" s="79" t="s">
        <v>860</v>
      </c>
      <c r="BA263" s="30" t="s">
        <v>801</v>
      </c>
      <c r="BC263" s="13">
        <f t="shared" si="157"/>
        <v>0</v>
      </c>
      <c r="BD263" s="13">
        <f t="shared" si="158"/>
        <v>0</v>
      </c>
      <c r="BE263" s="13">
        <v>0</v>
      </c>
      <c r="BF263" s="13">
        <f>263</f>
        <v>263</v>
      </c>
      <c r="BH263" s="13">
        <f t="shared" si="159"/>
        <v>0</v>
      </c>
      <c r="BI263" s="13">
        <f t="shared" si="160"/>
        <v>0</v>
      </c>
      <c r="BJ263" s="13">
        <f t="shared" si="161"/>
        <v>0</v>
      </c>
      <c r="BK263" s="13"/>
      <c r="BL263" s="13"/>
      <c r="BW263" s="13">
        <v>21</v>
      </c>
    </row>
    <row r="264" spans="1:75" ht="13.5" customHeight="1" x14ac:dyDescent="0.25">
      <c r="A264" s="1" t="s">
        <v>668</v>
      </c>
      <c r="B264" s="2" t="s">
        <v>26</v>
      </c>
      <c r="C264" s="2" t="s">
        <v>669</v>
      </c>
      <c r="D264" s="95" t="s">
        <v>670</v>
      </c>
      <c r="E264" s="88"/>
      <c r="F264" s="2" t="s">
        <v>649</v>
      </c>
      <c r="G264" s="13">
        <v>28.627199999999998</v>
      </c>
      <c r="H264" s="78">
        <v>0</v>
      </c>
      <c r="I264" s="13">
        <f t="shared" si="142"/>
        <v>0</v>
      </c>
      <c r="K264" s="34"/>
      <c r="Z264" s="13">
        <f t="shared" si="143"/>
        <v>0</v>
      </c>
      <c r="AB264" s="13">
        <f t="shared" si="144"/>
        <v>0</v>
      </c>
      <c r="AC264" s="13">
        <f t="shared" si="145"/>
        <v>0</v>
      </c>
      <c r="AD264" s="13">
        <f t="shared" si="146"/>
        <v>0</v>
      </c>
      <c r="AE264" s="13">
        <f t="shared" si="147"/>
        <v>0</v>
      </c>
      <c r="AF264" s="13">
        <f t="shared" si="148"/>
        <v>0</v>
      </c>
      <c r="AG264" s="13">
        <f t="shared" si="149"/>
        <v>0</v>
      </c>
      <c r="AH264" s="13">
        <f t="shared" si="150"/>
        <v>0</v>
      </c>
      <c r="AI264" s="30" t="s">
        <v>26</v>
      </c>
      <c r="AJ264" s="13">
        <f t="shared" si="151"/>
        <v>0</v>
      </c>
      <c r="AK264" s="13">
        <f t="shared" si="152"/>
        <v>0</v>
      </c>
      <c r="AL264" s="13">
        <f t="shared" si="153"/>
        <v>0</v>
      </c>
      <c r="AN264" s="13">
        <v>21</v>
      </c>
      <c r="AO264" s="13">
        <f>H264*0.010809614</f>
        <v>0</v>
      </c>
      <c r="AP264" s="13">
        <f>H264*(1-0.010809614)</f>
        <v>0</v>
      </c>
      <c r="AQ264" s="79" t="s">
        <v>70</v>
      </c>
      <c r="AV264" s="13">
        <f t="shared" si="154"/>
        <v>0</v>
      </c>
      <c r="AW264" s="13">
        <f t="shared" si="155"/>
        <v>0</v>
      </c>
      <c r="AX264" s="13">
        <f t="shared" si="156"/>
        <v>0</v>
      </c>
      <c r="AY264" s="79" t="s">
        <v>868</v>
      </c>
      <c r="AZ264" s="79" t="s">
        <v>860</v>
      </c>
      <c r="BA264" s="30" t="s">
        <v>801</v>
      </c>
      <c r="BC264" s="13">
        <f t="shared" si="157"/>
        <v>0</v>
      </c>
      <c r="BD264" s="13">
        <f t="shared" si="158"/>
        <v>0</v>
      </c>
      <c r="BE264" s="13">
        <v>0</v>
      </c>
      <c r="BF264" s="13">
        <f>264</f>
        <v>264</v>
      </c>
      <c r="BH264" s="13">
        <f t="shared" si="159"/>
        <v>0</v>
      </c>
      <c r="BI264" s="13">
        <f t="shared" si="160"/>
        <v>0</v>
      </c>
      <c r="BJ264" s="13">
        <f t="shared" si="161"/>
        <v>0</v>
      </c>
      <c r="BK264" s="13"/>
      <c r="BL264" s="13"/>
      <c r="BW264" s="13">
        <v>21</v>
      </c>
    </row>
    <row r="265" spans="1:75" ht="13.5" customHeight="1" x14ac:dyDescent="0.25">
      <c r="A265" s="1" t="s">
        <v>671</v>
      </c>
      <c r="B265" s="2" t="s">
        <v>26</v>
      </c>
      <c r="C265" s="2" t="s">
        <v>672</v>
      </c>
      <c r="D265" s="95" t="s">
        <v>673</v>
      </c>
      <c r="E265" s="88"/>
      <c r="F265" s="2" t="s">
        <v>649</v>
      </c>
      <c r="G265" s="13">
        <v>286.27199999999999</v>
      </c>
      <c r="H265" s="78">
        <v>0</v>
      </c>
      <c r="I265" s="13">
        <f t="shared" si="142"/>
        <v>0</v>
      </c>
      <c r="K265" s="34"/>
      <c r="Z265" s="13">
        <f t="shared" si="143"/>
        <v>0</v>
      </c>
      <c r="AB265" s="13">
        <f t="shared" si="144"/>
        <v>0</v>
      </c>
      <c r="AC265" s="13">
        <f t="shared" si="145"/>
        <v>0</v>
      </c>
      <c r="AD265" s="13">
        <f t="shared" si="146"/>
        <v>0</v>
      </c>
      <c r="AE265" s="13">
        <f t="shared" si="147"/>
        <v>0</v>
      </c>
      <c r="AF265" s="13">
        <f t="shared" si="148"/>
        <v>0</v>
      </c>
      <c r="AG265" s="13">
        <f t="shared" si="149"/>
        <v>0</v>
      </c>
      <c r="AH265" s="13">
        <f t="shared" si="150"/>
        <v>0</v>
      </c>
      <c r="AI265" s="30" t="s">
        <v>26</v>
      </c>
      <c r="AJ265" s="13">
        <f t="shared" si="151"/>
        <v>0</v>
      </c>
      <c r="AK265" s="13">
        <f t="shared" si="152"/>
        <v>0</v>
      </c>
      <c r="AL265" s="13">
        <f t="shared" si="153"/>
        <v>0</v>
      </c>
      <c r="AN265" s="13">
        <v>21</v>
      </c>
      <c r="AO265" s="13">
        <f>H265*0</f>
        <v>0</v>
      </c>
      <c r="AP265" s="13">
        <f>H265*(1-0)</f>
        <v>0</v>
      </c>
      <c r="AQ265" s="79" t="s">
        <v>70</v>
      </c>
      <c r="AV265" s="13">
        <f t="shared" si="154"/>
        <v>0</v>
      </c>
      <c r="AW265" s="13">
        <f t="shared" si="155"/>
        <v>0</v>
      </c>
      <c r="AX265" s="13">
        <f t="shared" si="156"/>
        <v>0</v>
      </c>
      <c r="AY265" s="79" t="s">
        <v>868</v>
      </c>
      <c r="AZ265" s="79" t="s">
        <v>860</v>
      </c>
      <c r="BA265" s="30" t="s">
        <v>801</v>
      </c>
      <c r="BC265" s="13">
        <f t="shared" si="157"/>
        <v>0</v>
      </c>
      <c r="BD265" s="13">
        <f t="shared" si="158"/>
        <v>0</v>
      </c>
      <c r="BE265" s="13">
        <v>0</v>
      </c>
      <c r="BF265" s="13">
        <f>265</f>
        <v>265</v>
      </c>
      <c r="BH265" s="13">
        <f t="shared" si="159"/>
        <v>0</v>
      </c>
      <c r="BI265" s="13">
        <f t="shared" si="160"/>
        <v>0</v>
      </c>
      <c r="BJ265" s="13">
        <f t="shared" si="161"/>
        <v>0</v>
      </c>
      <c r="BK265" s="13"/>
      <c r="BL265" s="13"/>
      <c r="BW265" s="13">
        <v>21</v>
      </c>
    </row>
    <row r="266" spans="1:75" ht="13.5" customHeight="1" x14ac:dyDescent="0.25">
      <c r="A266" s="1" t="s">
        <v>675</v>
      </c>
      <c r="B266" s="2" t="s">
        <v>26</v>
      </c>
      <c r="C266" s="2" t="s">
        <v>676</v>
      </c>
      <c r="D266" s="95" t="s">
        <v>677</v>
      </c>
      <c r="E266" s="88"/>
      <c r="F266" s="2" t="s">
        <v>649</v>
      </c>
      <c r="G266" s="13">
        <v>28.627199999999998</v>
      </c>
      <c r="H266" s="78">
        <v>0</v>
      </c>
      <c r="I266" s="13">
        <f t="shared" si="142"/>
        <v>0</v>
      </c>
      <c r="K266" s="34"/>
      <c r="Z266" s="13">
        <f t="shared" si="143"/>
        <v>0</v>
      </c>
      <c r="AB266" s="13">
        <f t="shared" si="144"/>
        <v>0</v>
      </c>
      <c r="AC266" s="13">
        <f t="shared" si="145"/>
        <v>0</v>
      </c>
      <c r="AD266" s="13">
        <f t="shared" si="146"/>
        <v>0</v>
      </c>
      <c r="AE266" s="13">
        <f t="shared" si="147"/>
        <v>0</v>
      </c>
      <c r="AF266" s="13">
        <f t="shared" si="148"/>
        <v>0</v>
      </c>
      <c r="AG266" s="13">
        <f t="shared" si="149"/>
        <v>0</v>
      </c>
      <c r="AH266" s="13">
        <f t="shared" si="150"/>
        <v>0</v>
      </c>
      <c r="AI266" s="30" t="s">
        <v>26</v>
      </c>
      <c r="AJ266" s="13">
        <f t="shared" si="151"/>
        <v>0</v>
      </c>
      <c r="AK266" s="13">
        <f t="shared" si="152"/>
        <v>0</v>
      </c>
      <c r="AL266" s="13">
        <f t="shared" si="153"/>
        <v>0</v>
      </c>
      <c r="AN266" s="13">
        <v>21</v>
      </c>
      <c r="AO266" s="13">
        <f>H266*0</f>
        <v>0</v>
      </c>
      <c r="AP266" s="13">
        <f>H266*(1-0)</f>
        <v>0</v>
      </c>
      <c r="AQ266" s="79" t="s">
        <v>70</v>
      </c>
      <c r="AV266" s="13">
        <f t="shared" si="154"/>
        <v>0</v>
      </c>
      <c r="AW266" s="13">
        <f t="shared" si="155"/>
        <v>0</v>
      </c>
      <c r="AX266" s="13">
        <f t="shared" si="156"/>
        <v>0</v>
      </c>
      <c r="AY266" s="79" t="s">
        <v>868</v>
      </c>
      <c r="AZ266" s="79" t="s">
        <v>860</v>
      </c>
      <c r="BA266" s="30" t="s">
        <v>801</v>
      </c>
      <c r="BC266" s="13">
        <f t="shared" si="157"/>
        <v>0</v>
      </c>
      <c r="BD266" s="13">
        <f t="shared" si="158"/>
        <v>0</v>
      </c>
      <c r="BE266" s="13">
        <v>0</v>
      </c>
      <c r="BF266" s="13">
        <f>266</f>
        <v>266</v>
      </c>
      <c r="BH266" s="13">
        <f t="shared" si="159"/>
        <v>0</v>
      </c>
      <c r="BI266" s="13">
        <f t="shared" si="160"/>
        <v>0</v>
      </c>
      <c r="BJ266" s="13">
        <f t="shared" si="161"/>
        <v>0</v>
      </c>
      <c r="BK266" s="13"/>
      <c r="BL266" s="13"/>
      <c r="BW266" s="13">
        <v>21</v>
      </c>
    </row>
    <row r="267" spans="1:75" ht="13.5" customHeight="1" x14ac:dyDescent="0.25">
      <c r="A267" s="32"/>
      <c r="C267" s="80" t="s">
        <v>49</v>
      </c>
      <c r="D267" s="113" t="s">
        <v>678</v>
      </c>
      <c r="E267" s="114"/>
      <c r="F267" s="114"/>
      <c r="G267" s="114"/>
      <c r="H267" s="184"/>
      <c r="I267" s="114"/>
      <c r="J267" s="114"/>
      <c r="K267" s="185"/>
    </row>
    <row r="268" spans="1:75" x14ac:dyDescent="0.25">
      <c r="A268" s="75" t="s">
        <v>20</v>
      </c>
      <c r="B268" s="29" t="s">
        <v>46</v>
      </c>
      <c r="C268" s="29" t="s">
        <v>20</v>
      </c>
      <c r="D268" s="183" t="s">
        <v>47</v>
      </c>
      <c r="E268" s="112"/>
      <c r="F268" s="76" t="s">
        <v>13</v>
      </c>
      <c r="G268" s="76" t="s">
        <v>13</v>
      </c>
      <c r="H268" s="77" t="s">
        <v>13</v>
      </c>
      <c r="I268" s="61">
        <f>I269+I271+I274+I276+I281+I284+I287+I289</f>
        <v>0</v>
      </c>
      <c r="K268" s="34"/>
    </row>
    <row r="269" spans="1:75" x14ac:dyDescent="0.25">
      <c r="A269" s="75" t="s">
        <v>20</v>
      </c>
      <c r="B269" s="29" t="s">
        <v>46</v>
      </c>
      <c r="C269" s="29" t="s">
        <v>93</v>
      </c>
      <c r="D269" s="183" t="s">
        <v>94</v>
      </c>
      <c r="E269" s="112"/>
      <c r="F269" s="76" t="s">
        <v>13</v>
      </c>
      <c r="G269" s="76" t="s">
        <v>13</v>
      </c>
      <c r="H269" s="77" t="s">
        <v>13</v>
      </c>
      <c r="I269" s="61">
        <f>SUM(I270:I270)</f>
        <v>0</v>
      </c>
      <c r="K269" s="34"/>
      <c r="AI269" s="30" t="s">
        <v>46</v>
      </c>
      <c r="AS269" s="61">
        <f>SUM(AJ270:AJ270)</f>
        <v>0</v>
      </c>
      <c r="AT269" s="61">
        <f>SUM(AK270:AK270)</f>
        <v>0</v>
      </c>
      <c r="AU269" s="61">
        <f>SUM(AL270:AL270)</f>
        <v>0</v>
      </c>
    </row>
    <row r="270" spans="1:75" ht="13.5" customHeight="1" x14ac:dyDescent="0.25">
      <c r="A270" s="1" t="s">
        <v>679</v>
      </c>
      <c r="B270" s="2" t="s">
        <v>46</v>
      </c>
      <c r="C270" s="2" t="s">
        <v>680</v>
      </c>
      <c r="D270" s="95" t="s">
        <v>681</v>
      </c>
      <c r="E270" s="88"/>
      <c r="F270" s="2" t="s">
        <v>202</v>
      </c>
      <c r="G270" s="13">
        <v>2</v>
      </c>
      <c r="H270" s="78">
        <v>0</v>
      </c>
      <c r="I270" s="13">
        <f>G270*H270</f>
        <v>0</v>
      </c>
      <c r="K270" s="34"/>
      <c r="Z270" s="13">
        <f>IF(AQ270="5",BJ270,0)</f>
        <v>0</v>
      </c>
      <c r="AB270" s="13">
        <f>IF(AQ270="1",BH270,0)</f>
        <v>0</v>
      </c>
      <c r="AC270" s="13">
        <f>IF(AQ270="1",BI270,0)</f>
        <v>0</v>
      </c>
      <c r="AD270" s="13">
        <f>IF(AQ270="7",BH270,0)</f>
        <v>0</v>
      </c>
      <c r="AE270" s="13">
        <f>IF(AQ270="7",BI270,0)</f>
        <v>0</v>
      </c>
      <c r="AF270" s="13">
        <f>IF(AQ270="2",BH270,0)</f>
        <v>0</v>
      </c>
      <c r="AG270" s="13">
        <f>IF(AQ270="2",BI270,0)</f>
        <v>0</v>
      </c>
      <c r="AH270" s="13">
        <f>IF(AQ270="0",BJ270,0)</f>
        <v>0</v>
      </c>
      <c r="AI270" s="30" t="s">
        <v>46</v>
      </c>
      <c r="AJ270" s="13">
        <f>IF(AN270=0,I270,0)</f>
        <v>0</v>
      </c>
      <c r="AK270" s="13">
        <f>IF(AN270=12,I270,0)</f>
        <v>0</v>
      </c>
      <c r="AL270" s="13">
        <f>IF(AN270=21,I270,0)</f>
        <v>0</v>
      </c>
      <c r="AN270" s="13">
        <v>21</v>
      </c>
      <c r="AO270" s="13">
        <f>H270*0.466423358</f>
        <v>0</v>
      </c>
      <c r="AP270" s="13">
        <f>H270*(1-0.466423358)</f>
        <v>0</v>
      </c>
      <c r="AQ270" s="79" t="s">
        <v>23</v>
      </c>
      <c r="AV270" s="13">
        <f>AW270+AX270</f>
        <v>0</v>
      </c>
      <c r="AW270" s="13">
        <f>G270*AO270</f>
        <v>0</v>
      </c>
      <c r="AX270" s="13">
        <f>G270*AP270</f>
        <v>0</v>
      </c>
      <c r="AY270" s="79" t="s">
        <v>799</v>
      </c>
      <c r="AZ270" s="79" t="s">
        <v>869</v>
      </c>
      <c r="BA270" s="30" t="s">
        <v>870</v>
      </c>
      <c r="BC270" s="13">
        <f>AW270+AX270</f>
        <v>0</v>
      </c>
      <c r="BD270" s="13">
        <f>H270/(100-BE270)*100</f>
        <v>0</v>
      </c>
      <c r="BE270" s="13">
        <v>0</v>
      </c>
      <c r="BF270" s="13">
        <f>270</f>
        <v>270</v>
      </c>
      <c r="BH270" s="13">
        <f>G270*AO270</f>
        <v>0</v>
      </c>
      <c r="BI270" s="13">
        <f>G270*AP270</f>
        <v>0</v>
      </c>
      <c r="BJ270" s="13">
        <f>G270*H270</f>
        <v>0</v>
      </c>
      <c r="BK270" s="13"/>
      <c r="BL270" s="13">
        <v>31</v>
      </c>
      <c r="BW270" s="13">
        <v>21</v>
      </c>
    </row>
    <row r="271" spans="1:75" x14ac:dyDescent="0.25">
      <c r="A271" s="75" t="s">
        <v>20</v>
      </c>
      <c r="B271" s="29" t="s">
        <v>46</v>
      </c>
      <c r="C271" s="29" t="s">
        <v>176</v>
      </c>
      <c r="D271" s="183" t="s">
        <v>177</v>
      </c>
      <c r="E271" s="112"/>
      <c r="F271" s="76" t="s">
        <v>13</v>
      </c>
      <c r="G271" s="76" t="s">
        <v>13</v>
      </c>
      <c r="H271" s="77" t="s">
        <v>13</v>
      </c>
      <c r="I271" s="61">
        <f>SUM(I272:I272)</f>
        <v>0</v>
      </c>
      <c r="K271" s="34"/>
      <c r="AI271" s="30" t="s">
        <v>46</v>
      </c>
      <c r="AS271" s="61">
        <f>SUM(AJ272:AJ272)</f>
        <v>0</v>
      </c>
      <c r="AT271" s="61">
        <f>SUM(AK272:AK272)</f>
        <v>0</v>
      </c>
      <c r="AU271" s="61">
        <f>SUM(AL272:AL272)</f>
        <v>0</v>
      </c>
    </row>
    <row r="272" spans="1:75" ht="13.5" customHeight="1" x14ac:dyDescent="0.25">
      <c r="A272" s="1" t="s">
        <v>682</v>
      </c>
      <c r="B272" s="2" t="s">
        <v>46</v>
      </c>
      <c r="C272" s="2" t="s">
        <v>200</v>
      </c>
      <c r="D272" s="95" t="s">
        <v>201</v>
      </c>
      <c r="E272" s="88"/>
      <c r="F272" s="2" t="s">
        <v>202</v>
      </c>
      <c r="G272" s="13">
        <v>2</v>
      </c>
      <c r="H272" s="78">
        <v>0</v>
      </c>
      <c r="I272" s="13">
        <f>G272*H272</f>
        <v>0</v>
      </c>
      <c r="K272" s="34"/>
      <c r="Z272" s="13">
        <f>IF(AQ272="5",BJ272,0)</f>
        <v>0</v>
      </c>
      <c r="AB272" s="13">
        <f>IF(AQ272="1",BH272,0)</f>
        <v>0</v>
      </c>
      <c r="AC272" s="13">
        <f>IF(AQ272="1",BI272,0)</f>
        <v>0</v>
      </c>
      <c r="AD272" s="13">
        <f>IF(AQ272="7",BH272,0)</f>
        <v>0</v>
      </c>
      <c r="AE272" s="13">
        <f>IF(AQ272="7",BI272,0)</f>
        <v>0</v>
      </c>
      <c r="AF272" s="13">
        <f>IF(AQ272="2",BH272,0)</f>
        <v>0</v>
      </c>
      <c r="AG272" s="13">
        <f>IF(AQ272="2",BI272,0)</f>
        <v>0</v>
      </c>
      <c r="AH272" s="13">
        <f>IF(AQ272="0",BJ272,0)</f>
        <v>0</v>
      </c>
      <c r="AI272" s="30" t="s">
        <v>46</v>
      </c>
      <c r="AJ272" s="13">
        <f>IF(AN272=0,I272,0)</f>
        <v>0</v>
      </c>
      <c r="AK272" s="13">
        <f>IF(AN272=12,I272,0)</f>
        <v>0</v>
      </c>
      <c r="AL272" s="13">
        <f>IF(AN272=21,I272,0)</f>
        <v>0</v>
      </c>
      <c r="AN272" s="13">
        <v>21</v>
      </c>
      <c r="AO272" s="13">
        <f>H272*0.549553846</f>
        <v>0</v>
      </c>
      <c r="AP272" s="13">
        <f>H272*(1-0.549553846)</f>
        <v>0</v>
      </c>
      <c r="AQ272" s="79" t="s">
        <v>23</v>
      </c>
      <c r="AV272" s="13">
        <f>AW272+AX272</f>
        <v>0</v>
      </c>
      <c r="AW272" s="13">
        <f>G272*AO272</f>
        <v>0</v>
      </c>
      <c r="AX272" s="13">
        <f>G272*AP272</f>
        <v>0</v>
      </c>
      <c r="AY272" s="79" t="s">
        <v>814</v>
      </c>
      <c r="AZ272" s="79" t="s">
        <v>871</v>
      </c>
      <c r="BA272" s="30" t="s">
        <v>870</v>
      </c>
      <c r="BC272" s="13">
        <f>AW272+AX272</f>
        <v>0</v>
      </c>
      <c r="BD272" s="13">
        <f>H272/(100-BE272)*100</f>
        <v>0</v>
      </c>
      <c r="BE272" s="13">
        <v>0</v>
      </c>
      <c r="BF272" s="13">
        <f>272</f>
        <v>272</v>
      </c>
      <c r="BH272" s="13">
        <f>G272*AO272</f>
        <v>0</v>
      </c>
      <c r="BI272" s="13">
        <f>G272*AP272</f>
        <v>0</v>
      </c>
      <c r="BJ272" s="13">
        <f>G272*H272</f>
        <v>0</v>
      </c>
      <c r="BK272" s="13"/>
      <c r="BL272" s="13">
        <v>63</v>
      </c>
      <c r="BW272" s="13">
        <v>21</v>
      </c>
    </row>
    <row r="273" spans="1:75" ht="13.5" customHeight="1" x14ac:dyDescent="0.25">
      <c r="A273" s="32"/>
      <c r="C273" s="80" t="s">
        <v>802</v>
      </c>
      <c r="D273" s="113" t="s">
        <v>816</v>
      </c>
      <c r="E273" s="114"/>
      <c r="F273" s="114"/>
      <c r="G273" s="114"/>
      <c r="H273" s="184"/>
      <c r="I273" s="114"/>
      <c r="J273" s="114"/>
      <c r="K273" s="185"/>
    </row>
    <row r="274" spans="1:75" x14ac:dyDescent="0.25">
      <c r="A274" s="75" t="s">
        <v>20</v>
      </c>
      <c r="B274" s="29" t="s">
        <v>46</v>
      </c>
      <c r="C274" s="29" t="s">
        <v>683</v>
      </c>
      <c r="D274" s="183" t="s">
        <v>684</v>
      </c>
      <c r="E274" s="112"/>
      <c r="F274" s="76" t="s">
        <v>13</v>
      </c>
      <c r="G274" s="76" t="s">
        <v>13</v>
      </c>
      <c r="H274" s="77" t="s">
        <v>13</v>
      </c>
      <c r="I274" s="61">
        <f>SUM(I275:I275)</f>
        <v>0</v>
      </c>
      <c r="K274" s="34"/>
      <c r="AI274" s="30" t="s">
        <v>46</v>
      </c>
      <c r="AS274" s="61">
        <f>SUM(AJ275:AJ275)</f>
        <v>0</v>
      </c>
      <c r="AT274" s="61">
        <f>SUM(AK275:AK275)</f>
        <v>0</v>
      </c>
      <c r="AU274" s="61">
        <f>SUM(AL275:AL275)</f>
        <v>0</v>
      </c>
    </row>
    <row r="275" spans="1:75" ht="13.5" customHeight="1" x14ac:dyDescent="0.25">
      <c r="A275" s="1" t="s">
        <v>685</v>
      </c>
      <c r="B275" s="2" t="s">
        <v>46</v>
      </c>
      <c r="C275" s="2" t="s">
        <v>686</v>
      </c>
      <c r="D275" s="95" t="s">
        <v>687</v>
      </c>
      <c r="E275" s="88"/>
      <c r="F275" s="2" t="s">
        <v>91</v>
      </c>
      <c r="G275" s="13">
        <v>29.4</v>
      </c>
      <c r="H275" s="78">
        <v>0</v>
      </c>
      <c r="I275" s="13">
        <f>G275*H275</f>
        <v>0</v>
      </c>
      <c r="K275" s="34"/>
      <c r="Z275" s="13">
        <f>IF(AQ275="5",BJ275,0)</f>
        <v>0</v>
      </c>
      <c r="AB275" s="13">
        <f>IF(AQ275="1",BH275,0)</f>
        <v>0</v>
      </c>
      <c r="AC275" s="13">
        <f>IF(AQ275="1",BI275,0)</f>
        <v>0</v>
      </c>
      <c r="AD275" s="13">
        <f>IF(AQ275="7",BH275,0)</f>
        <v>0</v>
      </c>
      <c r="AE275" s="13">
        <f>IF(AQ275="7",BI275,0)</f>
        <v>0</v>
      </c>
      <c r="AF275" s="13">
        <f>IF(AQ275="2",BH275,0)</f>
        <v>0</v>
      </c>
      <c r="AG275" s="13">
        <f>IF(AQ275="2",BI275,0)</f>
        <v>0</v>
      </c>
      <c r="AH275" s="13">
        <f>IF(AQ275="0",BJ275,0)</f>
        <v>0</v>
      </c>
      <c r="AI275" s="30" t="s">
        <v>46</v>
      </c>
      <c r="AJ275" s="13">
        <f>IF(AN275=0,I275,0)</f>
        <v>0</v>
      </c>
      <c r="AK275" s="13">
        <f>IF(AN275=12,I275,0)</f>
        <v>0</v>
      </c>
      <c r="AL275" s="13">
        <f>IF(AN275=21,I275,0)</f>
        <v>0</v>
      </c>
      <c r="AN275" s="13">
        <v>21</v>
      </c>
      <c r="AO275" s="13">
        <f>H275*0</f>
        <v>0</v>
      </c>
      <c r="AP275" s="13">
        <f>H275*(1-0)</f>
        <v>0</v>
      </c>
      <c r="AQ275" s="79" t="s">
        <v>75</v>
      </c>
      <c r="AV275" s="13">
        <f>AW275+AX275</f>
        <v>0</v>
      </c>
      <c r="AW275" s="13">
        <f>G275*AO275</f>
        <v>0</v>
      </c>
      <c r="AX275" s="13">
        <f>G275*AP275</f>
        <v>0</v>
      </c>
      <c r="AY275" s="79" t="s">
        <v>872</v>
      </c>
      <c r="AZ275" s="79" t="s">
        <v>873</v>
      </c>
      <c r="BA275" s="30" t="s">
        <v>870</v>
      </c>
      <c r="BC275" s="13">
        <f>AW275+AX275</f>
        <v>0</v>
      </c>
      <c r="BD275" s="13">
        <f>H275/(100-BE275)*100</f>
        <v>0</v>
      </c>
      <c r="BE275" s="13">
        <v>0</v>
      </c>
      <c r="BF275" s="13">
        <f>275</f>
        <v>275</v>
      </c>
      <c r="BH275" s="13">
        <f>G275*AO275</f>
        <v>0</v>
      </c>
      <c r="BI275" s="13">
        <f>G275*AP275</f>
        <v>0</v>
      </c>
      <c r="BJ275" s="13">
        <f>G275*H275</f>
        <v>0</v>
      </c>
      <c r="BK275" s="13"/>
      <c r="BL275" s="13">
        <v>713</v>
      </c>
      <c r="BW275" s="13">
        <v>21</v>
      </c>
    </row>
    <row r="276" spans="1:75" x14ac:dyDescent="0.25">
      <c r="A276" s="75" t="s">
        <v>20</v>
      </c>
      <c r="B276" s="29" t="s">
        <v>46</v>
      </c>
      <c r="C276" s="29" t="s">
        <v>363</v>
      </c>
      <c r="D276" s="183" t="s">
        <v>364</v>
      </c>
      <c r="E276" s="112"/>
      <c r="F276" s="76" t="s">
        <v>13</v>
      </c>
      <c r="G276" s="76" t="s">
        <v>13</v>
      </c>
      <c r="H276" s="77" t="s">
        <v>13</v>
      </c>
      <c r="I276" s="61">
        <f>SUM(I277:I279)</f>
        <v>0</v>
      </c>
      <c r="K276" s="34"/>
      <c r="AI276" s="30" t="s">
        <v>46</v>
      </c>
      <c r="AS276" s="61">
        <f>SUM(AJ277:AJ279)</f>
        <v>0</v>
      </c>
      <c r="AT276" s="61">
        <f>SUM(AK277:AK279)</f>
        <v>0</v>
      </c>
      <c r="AU276" s="61">
        <f>SUM(AL277:AL279)</f>
        <v>0</v>
      </c>
    </row>
    <row r="277" spans="1:75" ht="13.5" customHeight="1" x14ac:dyDescent="0.25">
      <c r="A277" s="1" t="s">
        <v>688</v>
      </c>
      <c r="B277" s="2" t="s">
        <v>46</v>
      </c>
      <c r="C277" s="2" t="s">
        <v>689</v>
      </c>
      <c r="D277" s="95" t="s">
        <v>690</v>
      </c>
      <c r="E277" s="88"/>
      <c r="F277" s="2" t="s">
        <v>127</v>
      </c>
      <c r="G277" s="13">
        <v>107.7</v>
      </c>
      <c r="H277" s="78">
        <v>0</v>
      </c>
      <c r="I277" s="13">
        <f>G277*H277</f>
        <v>0</v>
      </c>
      <c r="K277" s="34"/>
      <c r="Z277" s="13">
        <f>IF(AQ277="5",BJ277,0)</f>
        <v>0</v>
      </c>
      <c r="AB277" s="13">
        <f>IF(AQ277="1",BH277,0)</f>
        <v>0</v>
      </c>
      <c r="AC277" s="13">
        <f>IF(AQ277="1",BI277,0)</f>
        <v>0</v>
      </c>
      <c r="AD277" s="13">
        <f>IF(AQ277="7",BH277,0)</f>
        <v>0</v>
      </c>
      <c r="AE277" s="13">
        <f>IF(AQ277="7",BI277,0)</f>
        <v>0</v>
      </c>
      <c r="AF277" s="13">
        <f>IF(AQ277="2",BH277,0)</f>
        <v>0</v>
      </c>
      <c r="AG277" s="13">
        <f>IF(AQ277="2",BI277,0)</f>
        <v>0</v>
      </c>
      <c r="AH277" s="13">
        <f>IF(AQ277="0",BJ277,0)</f>
        <v>0</v>
      </c>
      <c r="AI277" s="30" t="s">
        <v>46</v>
      </c>
      <c r="AJ277" s="13">
        <f>IF(AN277=0,I277,0)</f>
        <v>0</v>
      </c>
      <c r="AK277" s="13">
        <f>IF(AN277=12,I277,0)</f>
        <v>0</v>
      </c>
      <c r="AL277" s="13">
        <f>IF(AN277=21,I277,0)</f>
        <v>0</v>
      </c>
      <c r="AN277" s="13">
        <v>21</v>
      </c>
      <c r="AO277" s="13">
        <f>H277*0.212765834</f>
        <v>0</v>
      </c>
      <c r="AP277" s="13">
        <f>H277*(1-0.212765834)</f>
        <v>0</v>
      </c>
      <c r="AQ277" s="79" t="s">
        <v>75</v>
      </c>
      <c r="AV277" s="13">
        <f>AW277+AX277</f>
        <v>0</v>
      </c>
      <c r="AW277" s="13">
        <f>G277*AO277</f>
        <v>0</v>
      </c>
      <c r="AX277" s="13">
        <f>G277*AP277</f>
        <v>0</v>
      </c>
      <c r="AY277" s="79" t="s">
        <v>838</v>
      </c>
      <c r="AZ277" s="79" t="s">
        <v>874</v>
      </c>
      <c r="BA277" s="30" t="s">
        <v>870</v>
      </c>
      <c r="BC277" s="13">
        <f>AW277+AX277</f>
        <v>0</v>
      </c>
      <c r="BD277" s="13">
        <f>H277/(100-BE277)*100</f>
        <v>0</v>
      </c>
      <c r="BE277" s="13">
        <v>0</v>
      </c>
      <c r="BF277" s="13">
        <f>277</f>
        <v>277</v>
      </c>
      <c r="BH277" s="13">
        <f>G277*AO277</f>
        <v>0</v>
      </c>
      <c r="BI277" s="13">
        <f>G277*AP277</f>
        <v>0</v>
      </c>
      <c r="BJ277" s="13">
        <f>G277*H277</f>
        <v>0</v>
      </c>
      <c r="BK277" s="13"/>
      <c r="BL277" s="13">
        <v>733</v>
      </c>
      <c r="BW277" s="13">
        <v>21</v>
      </c>
    </row>
    <row r="278" spans="1:75" ht="13.5" customHeight="1" x14ac:dyDescent="0.25">
      <c r="A278" s="1" t="s">
        <v>691</v>
      </c>
      <c r="B278" s="2" t="s">
        <v>46</v>
      </c>
      <c r="C278" s="2" t="s">
        <v>692</v>
      </c>
      <c r="D278" s="95" t="s">
        <v>693</v>
      </c>
      <c r="E278" s="88"/>
      <c r="F278" s="2" t="s">
        <v>127</v>
      </c>
      <c r="G278" s="13">
        <v>107.7</v>
      </c>
      <c r="H278" s="78">
        <v>0</v>
      </c>
      <c r="I278" s="13">
        <f>G278*H278</f>
        <v>0</v>
      </c>
      <c r="K278" s="34"/>
      <c r="Z278" s="13">
        <f>IF(AQ278="5",BJ278,0)</f>
        <v>0</v>
      </c>
      <c r="AB278" s="13">
        <f>IF(AQ278="1",BH278,0)</f>
        <v>0</v>
      </c>
      <c r="AC278" s="13">
        <f>IF(AQ278="1",BI278,0)</f>
        <v>0</v>
      </c>
      <c r="AD278" s="13">
        <f>IF(AQ278="7",BH278,0)</f>
        <v>0</v>
      </c>
      <c r="AE278" s="13">
        <f>IF(AQ278="7",BI278,0)</f>
        <v>0</v>
      </c>
      <c r="AF278" s="13">
        <f>IF(AQ278="2",BH278,0)</f>
        <v>0</v>
      </c>
      <c r="AG278" s="13">
        <f>IF(AQ278="2",BI278,0)</f>
        <v>0</v>
      </c>
      <c r="AH278" s="13">
        <f>IF(AQ278="0",BJ278,0)</f>
        <v>0</v>
      </c>
      <c r="AI278" s="30" t="s">
        <v>46</v>
      </c>
      <c r="AJ278" s="13">
        <f>IF(AN278=0,I278,0)</f>
        <v>0</v>
      </c>
      <c r="AK278" s="13">
        <f>IF(AN278=12,I278,0)</f>
        <v>0</v>
      </c>
      <c r="AL278" s="13">
        <f>IF(AN278=21,I278,0)</f>
        <v>0</v>
      </c>
      <c r="AN278" s="13">
        <v>21</v>
      </c>
      <c r="AO278" s="13">
        <f>H278*0.212617279</f>
        <v>0</v>
      </c>
      <c r="AP278" s="13">
        <f>H278*(1-0.212617279)</f>
        <v>0</v>
      </c>
      <c r="AQ278" s="79" t="s">
        <v>75</v>
      </c>
      <c r="AV278" s="13">
        <f>AW278+AX278</f>
        <v>0</v>
      </c>
      <c r="AW278" s="13">
        <f>G278*AO278</f>
        <v>0</v>
      </c>
      <c r="AX278" s="13">
        <f>G278*AP278</f>
        <v>0</v>
      </c>
      <c r="AY278" s="79" t="s">
        <v>838</v>
      </c>
      <c r="AZ278" s="79" t="s">
        <v>874</v>
      </c>
      <c r="BA278" s="30" t="s">
        <v>870</v>
      </c>
      <c r="BC278" s="13">
        <f>AW278+AX278</f>
        <v>0</v>
      </c>
      <c r="BD278" s="13">
        <f>H278/(100-BE278)*100</f>
        <v>0</v>
      </c>
      <c r="BE278" s="13">
        <v>0</v>
      </c>
      <c r="BF278" s="13">
        <f>278</f>
        <v>278</v>
      </c>
      <c r="BH278" s="13">
        <f>G278*AO278</f>
        <v>0</v>
      </c>
      <c r="BI278" s="13">
        <f>G278*AP278</f>
        <v>0</v>
      </c>
      <c r="BJ278" s="13">
        <f>G278*H278</f>
        <v>0</v>
      </c>
      <c r="BK278" s="13"/>
      <c r="BL278" s="13">
        <v>733</v>
      </c>
      <c r="BW278" s="13">
        <v>21</v>
      </c>
    </row>
    <row r="279" spans="1:75" ht="13.5" customHeight="1" x14ac:dyDescent="0.25">
      <c r="A279" s="1" t="s">
        <v>694</v>
      </c>
      <c r="B279" s="2" t="s">
        <v>46</v>
      </c>
      <c r="C279" s="2" t="s">
        <v>695</v>
      </c>
      <c r="D279" s="95" t="s">
        <v>696</v>
      </c>
      <c r="E279" s="88"/>
      <c r="F279" s="2" t="s">
        <v>127</v>
      </c>
      <c r="G279" s="13">
        <v>29.4</v>
      </c>
      <c r="H279" s="78">
        <v>0</v>
      </c>
      <c r="I279" s="13">
        <f>G279*H279</f>
        <v>0</v>
      </c>
      <c r="K279" s="34"/>
      <c r="Z279" s="13">
        <f>IF(AQ279="5",BJ279,0)</f>
        <v>0</v>
      </c>
      <c r="AB279" s="13">
        <f>IF(AQ279="1",BH279,0)</f>
        <v>0</v>
      </c>
      <c r="AC279" s="13">
        <f>IF(AQ279="1",BI279,0)</f>
        <v>0</v>
      </c>
      <c r="AD279" s="13">
        <f>IF(AQ279="7",BH279,0)</f>
        <v>0</v>
      </c>
      <c r="AE279" s="13">
        <f>IF(AQ279="7",BI279,0)</f>
        <v>0</v>
      </c>
      <c r="AF279" s="13">
        <f>IF(AQ279="2",BH279,0)</f>
        <v>0</v>
      </c>
      <c r="AG279" s="13">
        <f>IF(AQ279="2",BI279,0)</f>
        <v>0</v>
      </c>
      <c r="AH279" s="13">
        <f>IF(AQ279="0",BJ279,0)</f>
        <v>0</v>
      </c>
      <c r="AI279" s="30" t="s">
        <v>46</v>
      </c>
      <c r="AJ279" s="13">
        <f>IF(AN279=0,I279,0)</f>
        <v>0</v>
      </c>
      <c r="AK279" s="13">
        <f>IF(AN279=12,I279,0)</f>
        <v>0</v>
      </c>
      <c r="AL279" s="13">
        <f>IF(AN279=21,I279,0)</f>
        <v>0</v>
      </c>
      <c r="AN279" s="13">
        <v>21</v>
      </c>
      <c r="AO279" s="13">
        <f>H279*0.617233603</f>
        <v>0</v>
      </c>
      <c r="AP279" s="13">
        <f>H279*(1-0.617233603)</f>
        <v>0</v>
      </c>
      <c r="AQ279" s="79" t="s">
        <v>75</v>
      </c>
      <c r="AV279" s="13">
        <f>AW279+AX279</f>
        <v>0</v>
      </c>
      <c r="AW279" s="13">
        <f>G279*AO279</f>
        <v>0</v>
      </c>
      <c r="AX279" s="13">
        <f>G279*AP279</f>
        <v>0</v>
      </c>
      <c r="AY279" s="79" t="s">
        <v>838</v>
      </c>
      <c r="AZ279" s="79" t="s">
        <v>874</v>
      </c>
      <c r="BA279" s="30" t="s">
        <v>870</v>
      </c>
      <c r="BC279" s="13">
        <f>AW279+AX279</f>
        <v>0</v>
      </c>
      <c r="BD279" s="13">
        <f>H279/(100-BE279)*100</f>
        <v>0</v>
      </c>
      <c r="BE279" s="13">
        <v>0</v>
      </c>
      <c r="BF279" s="13">
        <f>279</f>
        <v>279</v>
      </c>
      <c r="BH279" s="13">
        <f>G279*AO279</f>
        <v>0</v>
      </c>
      <c r="BI279" s="13">
        <f>G279*AP279</f>
        <v>0</v>
      </c>
      <c r="BJ279" s="13">
        <f>G279*H279</f>
        <v>0</v>
      </c>
      <c r="BK279" s="13"/>
      <c r="BL279" s="13">
        <v>733</v>
      </c>
      <c r="BW279" s="13">
        <v>21</v>
      </c>
    </row>
    <row r="280" spans="1:75" ht="13.5" customHeight="1" x14ac:dyDescent="0.25">
      <c r="A280" s="32"/>
      <c r="C280" s="80" t="s">
        <v>802</v>
      </c>
      <c r="D280" s="113" t="s">
        <v>875</v>
      </c>
      <c r="E280" s="114"/>
      <c r="F280" s="114"/>
      <c r="G280" s="114"/>
      <c r="H280" s="184"/>
      <c r="I280" s="114"/>
      <c r="J280" s="114"/>
      <c r="K280" s="185"/>
    </row>
    <row r="281" spans="1:75" x14ac:dyDescent="0.25">
      <c r="A281" s="75" t="s">
        <v>20</v>
      </c>
      <c r="B281" s="29" t="s">
        <v>46</v>
      </c>
      <c r="C281" s="29" t="s">
        <v>578</v>
      </c>
      <c r="D281" s="183" t="s">
        <v>579</v>
      </c>
      <c r="E281" s="112"/>
      <c r="F281" s="76" t="s">
        <v>13</v>
      </c>
      <c r="G281" s="76" t="s">
        <v>13</v>
      </c>
      <c r="H281" s="77" t="s">
        <v>13</v>
      </c>
      <c r="I281" s="61">
        <f>SUM(I282:I282)</f>
        <v>0</v>
      </c>
      <c r="K281" s="34"/>
      <c r="AI281" s="30" t="s">
        <v>46</v>
      </c>
      <c r="AS281" s="61">
        <f>SUM(AJ282:AJ282)</f>
        <v>0</v>
      </c>
      <c r="AT281" s="61">
        <f>SUM(AK282:AK282)</f>
        <v>0</v>
      </c>
      <c r="AU281" s="61">
        <f>SUM(AL282:AL282)</f>
        <v>0</v>
      </c>
    </row>
    <row r="282" spans="1:75" ht="13.5" customHeight="1" x14ac:dyDescent="0.25">
      <c r="A282" s="1" t="s">
        <v>697</v>
      </c>
      <c r="B282" s="2" t="s">
        <v>46</v>
      </c>
      <c r="C282" s="2" t="s">
        <v>698</v>
      </c>
      <c r="D282" s="95" t="s">
        <v>699</v>
      </c>
      <c r="E282" s="88"/>
      <c r="F282" s="2" t="s">
        <v>91</v>
      </c>
      <c r="G282" s="13">
        <v>58.4</v>
      </c>
      <c r="H282" s="78">
        <v>0</v>
      </c>
      <c r="I282" s="13">
        <f>G282*H282</f>
        <v>0</v>
      </c>
      <c r="K282" s="34"/>
      <c r="Z282" s="13">
        <f>IF(AQ282="5",BJ282,0)</f>
        <v>0</v>
      </c>
      <c r="AB282" s="13">
        <f>IF(AQ282="1",BH282,0)</f>
        <v>0</v>
      </c>
      <c r="AC282" s="13">
        <f>IF(AQ282="1",BI282,0)</f>
        <v>0</v>
      </c>
      <c r="AD282" s="13">
        <f>IF(AQ282="7",BH282,0)</f>
        <v>0</v>
      </c>
      <c r="AE282" s="13">
        <f>IF(AQ282="7",BI282,0)</f>
        <v>0</v>
      </c>
      <c r="AF282" s="13">
        <f>IF(AQ282="2",BH282,0)</f>
        <v>0</v>
      </c>
      <c r="AG282" s="13">
        <f>IF(AQ282="2",BI282,0)</f>
        <v>0</v>
      </c>
      <c r="AH282" s="13">
        <f>IF(AQ282="0",BJ282,0)</f>
        <v>0</v>
      </c>
      <c r="AI282" s="30" t="s">
        <v>46</v>
      </c>
      <c r="AJ282" s="13">
        <f>IF(AN282=0,I282,0)</f>
        <v>0</v>
      </c>
      <c r="AK282" s="13">
        <f>IF(AN282=12,I282,0)</f>
        <v>0</v>
      </c>
      <c r="AL282" s="13">
        <f>IF(AN282=21,I282,0)</f>
        <v>0</v>
      </c>
      <c r="AN282" s="13">
        <v>21</v>
      </c>
      <c r="AO282" s="13">
        <f>H282*0.642254364</f>
        <v>0</v>
      </c>
      <c r="AP282" s="13">
        <f>H282*(1-0.642254364)</f>
        <v>0</v>
      </c>
      <c r="AQ282" s="79" t="s">
        <v>75</v>
      </c>
      <c r="AV282" s="13">
        <f>AW282+AX282</f>
        <v>0</v>
      </c>
      <c r="AW282" s="13">
        <f>G282*AO282</f>
        <v>0</v>
      </c>
      <c r="AX282" s="13">
        <f>G282*AP282</f>
        <v>0</v>
      </c>
      <c r="AY282" s="79" t="s">
        <v>858</v>
      </c>
      <c r="AZ282" s="79" t="s">
        <v>876</v>
      </c>
      <c r="BA282" s="30" t="s">
        <v>870</v>
      </c>
      <c r="BC282" s="13">
        <f>AW282+AX282</f>
        <v>0</v>
      </c>
      <c r="BD282" s="13">
        <f>H282/(100-BE282)*100</f>
        <v>0</v>
      </c>
      <c r="BE282" s="13">
        <v>0</v>
      </c>
      <c r="BF282" s="13">
        <f>282</f>
        <v>282</v>
      </c>
      <c r="BH282" s="13">
        <f>G282*AO282</f>
        <v>0</v>
      </c>
      <c r="BI282" s="13">
        <f>G282*AP282</f>
        <v>0</v>
      </c>
      <c r="BJ282" s="13">
        <f>G282*H282</f>
        <v>0</v>
      </c>
      <c r="BK282" s="13"/>
      <c r="BL282" s="13">
        <v>784</v>
      </c>
      <c r="BW282" s="13">
        <v>21</v>
      </c>
    </row>
    <row r="283" spans="1:75" ht="13.5" customHeight="1" x14ac:dyDescent="0.25">
      <c r="A283" s="32"/>
      <c r="C283" s="80" t="s">
        <v>802</v>
      </c>
      <c r="D283" s="113" t="s">
        <v>877</v>
      </c>
      <c r="E283" s="114"/>
      <c r="F283" s="114"/>
      <c r="G283" s="114"/>
      <c r="H283" s="184"/>
      <c r="I283" s="114"/>
      <c r="J283" s="114"/>
      <c r="K283" s="185"/>
    </row>
    <row r="284" spans="1:75" x14ac:dyDescent="0.25">
      <c r="A284" s="75" t="s">
        <v>20</v>
      </c>
      <c r="B284" s="29" t="s">
        <v>46</v>
      </c>
      <c r="C284" s="29" t="s">
        <v>371</v>
      </c>
      <c r="D284" s="183" t="s">
        <v>700</v>
      </c>
      <c r="E284" s="112"/>
      <c r="F284" s="76" t="s">
        <v>13</v>
      </c>
      <c r="G284" s="76" t="s">
        <v>13</v>
      </c>
      <c r="H284" s="77" t="s">
        <v>13</v>
      </c>
      <c r="I284" s="61">
        <f>SUM(I285:I285)</f>
        <v>0</v>
      </c>
      <c r="K284" s="34"/>
      <c r="AI284" s="30" t="s">
        <v>46</v>
      </c>
      <c r="AS284" s="61">
        <f>SUM(AJ285:AJ285)</f>
        <v>0</v>
      </c>
      <c r="AT284" s="61">
        <f>SUM(AK285:AK285)</f>
        <v>0</v>
      </c>
      <c r="AU284" s="61">
        <f>SUM(AL285:AL285)</f>
        <v>0</v>
      </c>
    </row>
    <row r="285" spans="1:75" ht="13.5" customHeight="1" x14ac:dyDescent="0.25">
      <c r="A285" s="1" t="s">
        <v>701</v>
      </c>
      <c r="B285" s="2" t="s">
        <v>46</v>
      </c>
      <c r="C285" s="2" t="s">
        <v>702</v>
      </c>
      <c r="D285" s="95" t="s">
        <v>703</v>
      </c>
      <c r="E285" s="88"/>
      <c r="F285" s="2" t="s">
        <v>283</v>
      </c>
      <c r="G285" s="13">
        <v>4</v>
      </c>
      <c r="H285" s="78">
        <v>0</v>
      </c>
      <c r="I285" s="13">
        <f>G285*H285</f>
        <v>0</v>
      </c>
      <c r="K285" s="34"/>
      <c r="Z285" s="13">
        <f>IF(AQ285="5",BJ285,0)</f>
        <v>0</v>
      </c>
      <c r="AB285" s="13">
        <f>IF(AQ285="1",BH285,0)</f>
        <v>0</v>
      </c>
      <c r="AC285" s="13">
        <f>IF(AQ285="1",BI285,0)</f>
        <v>0</v>
      </c>
      <c r="AD285" s="13">
        <f>IF(AQ285="7",BH285,0)</f>
        <v>0</v>
      </c>
      <c r="AE285" s="13">
        <f>IF(AQ285="7",BI285,0)</f>
        <v>0</v>
      </c>
      <c r="AF285" s="13">
        <f>IF(AQ285="2",BH285,0)</f>
        <v>0</v>
      </c>
      <c r="AG285" s="13">
        <f>IF(AQ285="2",BI285,0)</f>
        <v>0</v>
      </c>
      <c r="AH285" s="13">
        <f>IF(AQ285="0",BJ285,0)</f>
        <v>0</v>
      </c>
      <c r="AI285" s="30" t="s">
        <v>46</v>
      </c>
      <c r="AJ285" s="13">
        <f>IF(AN285=0,I285,0)</f>
        <v>0</v>
      </c>
      <c r="AK285" s="13">
        <f>IF(AN285=12,I285,0)</f>
        <v>0</v>
      </c>
      <c r="AL285" s="13">
        <f>IF(AN285=21,I285,0)</f>
        <v>0</v>
      </c>
      <c r="AN285" s="13">
        <v>21</v>
      </c>
      <c r="AO285" s="13">
        <f>H285*0</f>
        <v>0</v>
      </c>
      <c r="AP285" s="13">
        <f>H285*(1-0)</f>
        <v>0</v>
      </c>
      <c r="AQ285" s="79" t="s">
        <v>23</v>
      </c>
      <c r="AV285" s="13">
        <f>AW285+AX285</f>
        <v>0</v>
      </c>
      <c r="AW285" s="13">
        <f>G285*AO285</f>
        <v>0</v>
      </c>
      <c r="AX285" s="13">
        <f>G285*AP285</f>
        <v>0</v>
      </c>
      <c r="AY285" s="79" t="s">
        <v>878</v>
      </c>
      <c r="AZ285" s="79" t="s">
        <v>879</v>
      </c>
      <c r="BA285" s="30" t="s">
        <v>870</v>
      </c>
      <c r="BC285" s="13">
        <f>AW285+AX285</f>
        <v>0</v>
      </c>
      <c r="BD285" s="13">
        <f>H285/(100-BE285)*100</f>
        <v>0</v>
      </c>
      <c r="BE285" s="13">
        <v>0</v>
      </c>
      <c r="BF285" s="13">
        <f>285</f>
        <v>285</v>
      </c>
      <c r="BH285" s="13">
        <f>G285*AO285</f>
        <v>0</v>
      </c>
      <c r="BI285" s="13">
        <f>G285*AP285</f>
        <v>0</v>
      </c>
      <c r="BJ285" s="13">
        <f>G285*H285</f>
        <v>0</v>
      </c>
      <c r="BK285" s="13"/>
      <c r="BL285" s="13">
        <v>90</v>
      </c>
      <c r="BW285" s="13">
        <v>21</v>
      </c>
    </row>
    <row r="286" spans="1:75" ht="13.5" customHeight="1" x14ac:dyDescent="0.25">
      <c r="A286" s="32"/>
      <c r="C286" s="80" t="s">
        <v>802</v>
      </c>
      <c r="D286" s="113" t="s">
        <v>880</v>
      </c>
      <c r="E286" s="114"/>
      <c r="F286" s="114"/>
      <c r="G286" s="114"/>
      <c r="H286" s="184"/>
      <c r="I286" s="114"/>
      <c r="J286" s="114"/>
      <c r="K286" s="185"/>
    </row>
    <row r="287" spans="1:75" x14ac:dyDescent="0.25">
      <c r="A287" s="75" t="s">
        <v>20</v>
      </c>
      <c r="B287" s="29" t="s">
        <v>46</v>
      </c>
      <c r="C287" s="29" t="s">
        <v>383</v>
      </c>
      <c r="D287" s="183" t="s">
        <v>587</v>
      </c>
      <c r="E287" s="112"/>
      <c r="F287" s="76" t="s">
        <v>13</v>
      </c>
      <c r="G287" s="76" t="s">
        <v>13</v>
      </c>
      <c r="H287" s="77" t="s">
        <v>13</v>
      </c>
      <c r="I287" s="61">
        <f>SUM(I288:I288)</f>
        <v>0</v>
      </c>
      <c r="K287" s="34"/>
      <c r="AI287" s="30" t="s">
        <v>46</v>
      </c>
      <c r="AS287" s="61">
        <f>SUM(AJ288:AJ288)</f>
        <v>0</v>
      </c>
      <c r="AT287" s="61">
        <f>SUM(AK288:AK288)</f>
        <v>0</v>
      </c>
      <c r="AU287" s="61">
        <f>SUM(AL288:AL288)</f>
        <v>0</v>
      </c>
    </row>
    <row r="288" spans="1:75" ht="13.5" customHeight="1" x14ac:dyDescent="0.25">
      <c r="A288" s="1" t="s">
        <v>704</v>
      </c>
      <c r="B288" s="2" t="s">
        <v>46</v>
      </c>
      <c r="C288" s="2" t="s">
        <v>589</v>
      </c>
      <c r="D288" s="95" t="s">
        <v>590</v>
      </c>
      <c r="E288" s="88"/>
      <c r="F288" s="2" t="s">
        <v>91</v>
      </c>
      <c r="G288" s="13">
        <v>29.2</v>
      </c>
      <c r="H288" s="78">
        <v>0</v>
      </c>
      <c r="I288" s="13">
        <f>G288*H288</f>
        <v>0</v>
      </c>
      <c r="K288" s="34"/>
      <c r="Z288" s="13">
        <f>IF(AQ288="5",BJ288,0)</f>
        <v>0</v>
      </c>
      <c r="AB288" s="13">
        <f>IF(AQ288="1",BH288,0)</f>
        <v>0</v>
      </c>
      <c r="AC288" s="13">
        <f>IF(AQ288="1",BI288,0)</f>
        <v>0</v>
      </c>
      <c r="AD288" s="13">
        <f>IF(AQ288="7",BH288,0)</f>
        <v>0</v>
      </c>
      <c r="AE288" s="13">
        <f>IF(AQ288="7",BI288,0)</f>
        <v>0</v>
      </c>
      <c r="AF288" s="13">
        <f>IF(AQ288="2",BH288,0)</f>
        <v>0</v>
      </c>
      <c r="AG288" s="13">
        <f>IF(AQ288="2",BI288,0)</f>
        <v>0</v>
      </c>
      <c r="AH288" s="13">
        <f>IF(AQ288="0",BJ288,0)</f>
        <v>0</v>
      </c>
      <c r="AI288" s="30" t="s">
        <v>46</v>
      </c>
      <c r="AJ288" s="13">
        <f>IF(AN288=0,I288,0)</f>
        <v>0</v>
      </c>
      <c r="AK288" s="13">
        <f>IF(AN288=12,I288,0)</f>
        <v>0</v>
      </c>
      <c r="AL288" s="13">
        <f>IF(AN288=21,I288,0)</f>
        <v>0</v>
      </c>
      <c r="AN288" s="13">
        <v>21</v>
      </c>
      <c r="AO288" s="13">
        <f>H288*0.401843845</f>
        <v>0</v>
      </c>
      <c r="AP288" s="13">
        <f>H288*(1-0.401843845)</f>
        <v>0</v>
      </c>
      <c r="AQ288" s="79" t="s">
        <v>23</v>
      </c>
      <c r="AV288" s="13">
        <f>AW288+AX288</f>
        <v>0</v>
      </c>
      <c r="AW288" s="13">
        <f>G288*AO288</f>
        <v>0</v>
      </c>
      <c r="AX288" s="13">
        <f>G288*AP288</f>
        <v>0</v>
      </c>
      <c r="AY288" s="79" t="s">
        <v>859</v>
      </c>
      <c r="AZ288" s="79" t="s">
        <v>879</v>
      </c>
      <c r="BA288" s="30" t="s">
        <v>870</v>
      </c>
      <c r="BC288" s="13">
        <f>AW288+AX288</f>
        <v>0</v>
      </c>
      <c r="BD288" s="13">
        <f>H288/(100-BE288)*100</f>
        <v>0</v>
      </c>
      <c r="BE288" s="13">
        <v>0</v>
      </c>
      <c r="BF288" s="13">
        <f>288</f>
        <v>288</v>
      </c>
      <c r="BH288" s="13">
        <f>G288*AO288</f>
        <v>0</v>
      </c>
      <c r="BI288" s="13">
        <f>G288*AP288</f>
        <v>0</v>
      </c>
      <c r="BJ288" s="13">
        <f>G288*H288</f>
        <v>0</v>
      </c>
      <c r="BK288" s="13"/>
      <c r="BL288" s="13">
        <v>94</v>
      </c>
      <c r="BW288" s="13">
        <v>21</v>
      </c>
    </row>
    <row r="289" spans="1:75" x14ac:dyDescent="0.25">
      <c r="A289" s="75" t="s">
        <v>20</v>
      </c>
      <c r="B289" s="29" t="s">
        <v>46</v>
      </c>
      <c r="C289" s="29" t="s">
        <v>654</v>
      </c>
      <c r="D289" s="183" t="s">
        <v>655</v>
      </c>
      <c r="E289" s="112"/>
      <c r="F289" s="76" t="s">
        <v>13</v>
      </c>
      <c r="G289" s="76" t="s">
        <v>13</v>
      </c>
      <c r="H289" s="77" t="s">
        <v>13</v>
      </c>
      <c r="I289" s="61">
        <f>SUM(I290:I294)</f>
        <v>0</v>
      </c>
      <c r="K289" s="34"/>
      <c r="AI289" s="30" t="s">
        <v>46</v>
      </c>
      <c r="AS289" s="61">
        <f>SUM(AJ290:AJ294)</f>
        <v>0</v>
      </c>
      <c r="AT289" s="61">
        <f>SUM(AK290:AK294)</f>
        <v>0</v>
      </c>
      <c r="AU289" s="61">
        <f>SUM(AL290:AL294)</f>
        <v>0</v>
      </c>
    </row>
    <row r="290" spans="1:75" ht="13.5" customHeight="1" x14ac:dyDescent="0.25">
      <c r="A290" s="1" t="s">
        <v>705</v>
      </c>
      <c r="B290" s="2" t="s">
        <v>46</v>
      </c>
      <c r="C290" s="2" t="s">
        <v>657</v>
      </c>
      <c r="D290" s="95" t="s">
        <v>658</v>
      </c>
      <c r="E290" s="88"/>
      <c r="F290" s="2" t="s">
        <v>649</v>
      </c>
      <c r="G290" s="13">
        <v>0.91220000000000001</v>
      </c>
      <c r="H290" s="78">
        <v>0</v>
      </c>
      <c r="I290" s="13">
        <f>G290*H290</f>
        <v>0</v>
      </c>
      <c r="K290" s="34"/>
      <c r="Z290" s="13">
        <f>IF(AQ290="5",BJ290,0)</f>
        <v>0</v>
      </c>
      <c r="AB290" s="13">
        <f>IF(AQ290="1",BH290,0)</f>
        <v>0</v>
      </c>
      <c r="AC290" s="13">
        <f>IF(AQ290="1",BI290,0)</f>
        <v>0</v>
      </c>
      <c r="AD290" s="13">
        <f>IF(AQ290="7",BH290,0)</f>
        <v>0</v>
      </c>
      <c r="AE290" s="13">
        <f>IF(AQ290="7",BI290,0)</f>
        <v>0</v>
      </c>
      <c r="AF290" s="13">
        <f>IF(AQ290="2",BH290,0)</f>
        <v>0</v>
      </c>
      <c r="AG290" s="13">
        <f>IF(AQ290="2",BI290,0)</f>
        <v>0</v>
      </c>
      <c r="AH290" s="13">
        <f>IF(AQ290="0",BJ290,0)</f>
        <v>0</v>
      </c>
      <c r="AI290" s="30" t="s">
        <v>46</v>
      </c>
      <c r="AJ290" s="13">
        <f>IF(AN290=0,I290,0)</f>
        <v>0</v>
      </c>
      <c r="AK290" s="13">
        <f>IF(AN290=12,I290,0)</f>
        <v>0</v>
      </c>
      <c r="AL290" s="13">
        <f>IF(AN290=21,I290,0)</f>
        <v>0</v>
      </c>
      <c r="AN290" s="13">
        <v>21</v>
      </c>
      <c r="AO290" s="13">
        <f>H290*0</f>
        <v>0</v>
      </c>
      <c r="AP290" s="13">
        <f>H290*(1-0)</f>
        <v>0</v>
      </c>
      <c r="AQ290" s="79" t="s">
        <v>70</v>
      </c>
      <c r="AV290" s="13">
        <f>AW290+AX290</f>
        <v>0</v>
      </c>
      <c r="AW290" s="13">
        <f>G290*AO290</f>
        <v>0</v>
      </c>
      <c r="AX290" s="13">
        <f>G290*AP290</f>
        <v>0</v>
      </c>
      <c r="AY290" s="79" t="s">
        <v>868</v>
      </c>
      <c r="AZ290" s="79" t="s">
        <v>879</v>
      </c>
      <c r="BA290" s="30" t="s">
        <v>870</v>
      </c>
      <c r="BC290" s="13">
        <f>AW290+AX290</f>
        <v>0</v>
      </c>
      <c r="BD290" s="13">
        <f>H290/(100-BE290)*100</f>
        <v>0</v>
      </c>
      <c r="BE290" s="13">
        <v>0</v>
      </c>
      <c r="BF290" s="13">
        <f>290</f>
        <v>290</v>
      </c>
      <c r="BH290" s="13">
        <f>G290*AO290</f>
        <v>0</v>
      </c>
      <c r="BI290" s="13">
        <f>G290*AP290</f>
        <v>0</v>
      </c>
      <c r="BJ290" s="13">
        <f>G290*H290</f>
        <v>0</v>
      </c>
      <c r="BK290" s="13"/>
      <c r="BL290" s="13"/>
      <c r="BW290" s="13">
        <v>21</v>
      </c>
    </row>
    <row r="291" spans="1:75" ht="13.5" customHeight="1" x14ac:dyDescent="0.25">
      <c r="A291" s="1" t="s">
        <v>706</v>
      </c>
      <c r="B291" s="2" t="s">
        <v>46</v>
      </c>
      <c r="C291" s="2" t="s">
        <v>660</v>
      </c>
      <c r="D291" s="95" t="s">
        <v>661</v>
      </c>
      <c r="E291" s="88"/>
      <c r="F291" s="2" t="s">
        <v>649</v>
      </c>
      <c r="G291" s="13">
        <v>0.91220000000000001</v>
      </c>
      <c r="H291" s="78">
        <v>0</v>
      </c>
      <c r="I291" s="13">
        <f>G291*H291</f>
        <v>0</v>
      </c>
      <c r="K291" s="34"/>
      <c r="Z291" s="13">
        <f>IF(AQ291="5",BJ291,0)</f>
        <v>0</v>
      </c>
      <c r="AB291" s="13">
        <f>IF(AQ291="1",BH291,0)</f>
        <v>0</v>
      </c>
      <c r="AC291" s="13">
        <f>IF(AQ291="1",BI291,0)</f>
        <v>0</v>
      </c>
      <c r="AD291" s="13">
        <f>IF(AQ291="7",BH291,0)</f>
        <v>0</v>
      </c>
      <c r="AE291" s="13">
        <f>IF(AQ291="7",BI291,0)</f>
        <v>0</v>
      </c>
      <c r="AF291" s="13">
        <f>IF(AQ291="2",BH291,0)</f>
        <v>0</v>
      </c>
      <c r="AG291" s="13">
        <f>IF(AQ291="2",BI291,0)</f>
        <v>0</v>
      </c>
      <c r="AH291" s="13">
        <f>IF(AQ291="0",BJ291,0)</f>
        <v>0</v>
      </c>
      <c r="AI291" s="30" t="s">
        <v>46</v>
      </c>
      <c r="AJ291" s="13">
        <f>IF(AN291=0,I291,0)</f>
        <v>0</v>
      </c>
      <c r="AK291" s="13">
        <f>IF(AN291=12,I291,0)</f>
        <v>0</v>
      </c>
      <c r="AL291" s="13">
        <f>IF(AN291=21,I291,0)</f>
        <v>0</v>
      </c>
      <c r="AN291" s="13">
        <v>21</v>
      </c>
      <c r="AO291" s="13">
        <f>H291*0</f>
        <v>0</v>
      </c>
      <c r="AP291" s="13">
        <f>H291*(1-0)</f>
        <v>0</v>
      </c>
      <c r="AQ291" s="79" t="s">
        <v>70</v>
      </c>
      <c r="AV291" s="13">
        <f>AW291+AX291</f>
        <v>0</v>
      </c>
      <c r="AW291" s="13">
        <f>G291*AO291</f>
        <v>0</v>
      </c>
      <c r="AX291" s="13">
        <f>G291*AP291</f>
        <v>0</v>
      </c>
      <c r="AY291" s="79" t="s">
        <v>868</v>
      </c>
      <c r="AZ291" s="79" t="s">
        <v>879</v>
      </c>
      <c r="BA291" s="30" t="s">
        <v>870</v>
      </c>
      <c r="BC291" s="13">
        <f>AW291+AX291</f>
        <v>0</v>
      </c>
      <c r="BD291" s="13">
        <f>H291/(100-BE291)*100</f>
        <v>0</v>
      </c>
      <c r="BE291" s="13">
        <v>0</v>
      </c>
      <c r="BF291" s="13">
        <f>291</f>
        <v>291</v>
      </c>
      <c r="BH291" s="13">
        <f>G291*AO291</f>
        <v>0</v>
      </c>
      <c r="BI291" s="13">
        <f>G291*AP291</f>
        <v>0</v>
      </c>
      <c r="BJ291" s="13">
        <f>G291*H291</f>
        <v>0</v>
      </c>
      <c r="BK291" s="13"/>
      <c r="BL291" s="13"/>
      <c r="BW291" s="13">
        <v>21</v>
      </c>
    </row>
    <row r="292" spans="1:75" ht="13.5" customHeight="1" x14ac:dyDescent="0.25">
      <c r="A292" s="1" t="s">
        <v>707</v>
      </c>
      <c r="B292" s="2" t="s">
        <v>46</v>
      </c>
      <c r="C292" s="2" t="s">
        <v>663</v>
      </c>
      <c r="D292" s="95" t="s">
        <v>664</v>
      </c>
      <c r="E292" s="88"/>
      <c r="F292" s="2" t="s">
        <v>649</v>
      </c>
      <c r="G292" s="13">
        <v>0.91220000000000001</v>
      </c>
      <c r="H292" s="78">
        <v>0</v>
      </c>
      <c r="I292" s="13">
        <f>G292*H292</f>
        <v>0</v>
      </c>
      <c r="K292" s="34"/>
      <c r="Z292" s="13">
        <f>IF(AQ292="5",BJ292,0)</f>
        <v>0</v>
      </c>
      <c r="AB292" s="13">
        <f>IF(AQ292="1",BH292,0)</f>
        <v>0</v>
      </c>
      <c r="AC292" s="13">
        <f>IF(AQ292="1",BI292,0)</f>
        <v>0</v>
      </c>
      <c r="AD292" s="13">
        <f>IF(AQ292="7",BH292,0)</f>
        <v>0</v>
      </c>
      <c r="AE292" s="13">
        <f>IF(AQ292="7",BI292,0)</f>
        <v>0</v>
      </c>
      <c r="AF292" s="13">
        <f>IF(AQ292="2",BH292,0)</f>
        <v>0</v>
      </c>
      <c r="AG292" s="13">
        <f>IF(AQ292="2",BI292,0)</f>
        <v>0</v>
      </c>
      <c r="AH292" s="13">
        <f>IF(AQ292="0",BJ292,0)</f>
        <v>0</v>
      </c>
      <c r="AI292" s="30" t="s">
        <v>46</v>
      </c>
      <c r="AJ292" s="13">
        <f>IF(AN292=0,I292,0)</f>
        <v>0</v>
      </c>
      <c r="AK292" s="13">
        <f>IF(AN292=12,I292,0)</f>
        <v>0</v>
      </c>
      <c r="AL292" s="13">
        <f>IF(AN292=21,I292,0)</f>
        <v>0</v>
      </c>
      <c r="AN292" s="13">
        <v>21</v>
      </c>
      <c r="AO292" s="13">
        <f>H292*0</f>
        <v>0</v>
      </c>
      <c r="AP292" s="13">
        <f>H292*(1-0)</f>
        <v>0</v>
      </c>
      <c r="AQ292" s="79" t="s">
        <v>70</v>
      </c>
      <c r="AV292" s="13">
        <f>AW292+AX292</f>
        <v>0</v>
      </c>
      <c r="AW292" s="13">
        <f>G292*AO292</f>
        <v>0</v>
      </c>
      <c r="AX292" s="13">
        <f>G292*AP292</f>
        <v>0</v>
      </c>
      <c r="AY292" s="79" t="s">
        <v>868</v>
      </c>
      <c r="AZ292" s="79" t="s">
        <v>879</v>
      </c>
      <c r="BA292" s="30" t="s">
        <v>870</v>
      </c>
      <c r="BC292" s="13">
        <f>AW292+AX292</f>
        <v>0</v>
      </c>
      <c r="BD292" s="13">
        <f>H292/(100-BE292)*100</f>
        <v>0</v>
      </c>
      <c r="BE292" s="13">
        <v>0</v>
      </c>
      <c r="BF292" s="13">
        <f>292</f>
        <v>292</v>
      </c>
      <c r="BH292" s="13">
        <f>G292*AO292</f>
        <v>0</v>
      </c>
      <c r="BI292" s="13">
        <f>G292*AP292</f>
        <v>0</v>
      </c>
      <c r="BJ292" s="13">
        <f>G292*H292</f>
        <v>0</v>
      </c>
      <c r="BK292" s="13"/>
      <c r="BL292" s="13"/>
      <c r="BW292" s="13">
        <v>21</v>
      </c>
    </row>
    <row r="293" spans="1:75" ht="13.5" customHeight="1" x14ac:dyDescent="0.25">
      <c r="A293" s="1" t="s">
        <v>708</v>
      </c>
      <c r="B293" s="2" t="s">
        <v>46</v>
      </c>
      <c r="C293" s="2" t="s">
        <v>666</v>
      </c>
      <c r="D293" s="95" t="s">
        <v>667</v>
      </c>
      <c r="E293" s="88"/>
      <c r="F293" s="2" t="s">
        <v>649</v>
      </c>
      <c r="G293" s="13">
        <v>0.91220000000000001</v>
      </c>
      <c r="H293" s="78">
        <v>0</v>
      </c>
      <c r="I293" s="13">
        <f>G293*H293</f>
        <v>0</v>
      </c>
      <c r="K293" s="34"/>
      <c r="Z293" s="13">
        <f>IF(AQ293="5",BJ293,0)</f>
        <v>0</v>
      </c>
      <c r="AB293" s="13">
        <f>IF(AQ293="1",BH293,0)</f>
        <v>0</v>
      </c>
      <c r="AC293" s="13">
        <f>IF(AQ293="1",BI293,0)</f>
        <v>0</v>
      </c>
      <c r="AD293" s="13">
        <f>IF(AQ293="7",BH293,0)</f>
        <v>0</v>
      </c>
      <c r="AE293" s="13">
        <f>IF(AQ293="7",BI293,0)</f>
        <v>0</v>
      </c>
      <c r="AF293" s="13">
        <f>IF(AQ293="2",BH293,0)</f>
        <v>0</v>
      </c>
      <c r="AG293" s="13">
        <f>IF(AQ293="2",BI293,0)</f>
        <v>0</v>
      </c>
      <c r="AH293" s="13">
        <f>IF(AQ293="0",BJ293,0)</f>
        <v>0</v>
      </c>
      <c r="AI293" s="30" t="s">
        <v>46</v>
      </c>
      <c r="AJ293" s="13">
        <f>IF(AN293=0,I293,0)</f>
        <v>0</v>
      </c>
      <c r="AK293" s="13">
        <f>IF(AN293=12,I293,0)</f>
        <v>0</v>
      </c>
      <c r="AL293" s="13">
        <f>IF(AN293=21,I293,0)</f>
        <v>0</v>
      </c>
      <c r="AN293" s="13">
        <v>21</v>
      </c>
      <c r="AO293" s="13">
        <f>H293*0</f>
        <v>0</v>
      </c>
      <c r="AP293" s="13">
        <f>H293*(1-0)</f>
        <v>0</v>
      </c>
      <c r="AQ293" s="79" t="s">
        <v>70</v>
      </c>
      <c r="AV293" s="13">
        <f>AW293+AX293</f>
        <v>0</v>
      </c>
      <c r="AW293" s="13">
        <f>G293*AO293</f>
        <v>0</v>
      </c>
      <c r="AX293" s="13">
        <f>G293*AP293</f>
        <v>0</v>
      </c>
      <c r="AY293" s="79" t="s">
        <v>868</v>
      </c>
      <c r="AZ293" s="79" t="s">
        <v>879</v>
      </c>
      <c r="BA293" s="30" t="s">
        <v>870</v>
      </c>
      <c r="BC293" s="13">
        <f>AW293+AX293</f>
        <v>0</v>
      </c>
      <c r="BD293" s="13">
        <f>H293/(100-BE293)*100</f>
        <v>0</v>
      </c>
      <c r="BE293" s="13">
        <v>0</v>
      </c>
      <c r="BF293" s="13">
        <f>293</f>
        <v>293</v>
      </c>
      <c r="BH293" s="13">
        <f>G293*AO293</f>
        <v>0</v>
      </c>
      <c r="BI293" s="13">
        <f>G293*AP293</f>
        <v>0</v>
      </c>
      <c r="BJ293" s="13">
        <f>G293*H293</f>
        <v>0</v>
      </c>
      <c r="BK293" s="13"/>
      <c r="BL293" s="13"/>
      <c r="BW293" s="13">
        <v>21</v>
      </c>
    </row>
    <row r="294" spans="1:75" ht="13.5" customHeight="1" x14ac:dyDescent="0.25">
      <c r="A294" s="15" t="s">
        <v>709</v>
      </c>
      <c r="B294" s="16" t="s">
        <v>46</v>
      </c>
      <c r="C294" s="16" t="s">
        <v>710</v>
      </c>
      <c r="D294" s="186" t="s">
        <v>711</v>
      </c>
      <c r="E294" s="107"/>
      <c r="F294" s="16" t="s">
        <v>649</v>
      </c>
      <c r="G294" s="38">
        <v>0.91220000000000001</v>
      </c>
      <c r="H294" s="81">
        <v>0</v>
      </c>
      <c r="I294" s="38">
        <f>G294*H294</f>
        <v>0</v>
      </c>
      <c r="J294" s="82"/>
      <c r="K294" s="83"/>
      <c r="Z294" s="13">
        <f>IF(AQ294="5",BJ294,0)</f>
        <v>0</v>
      </c>
      <c r="AB294" s="13">
        <f>IF(AQ294="1",BH294,0)</f>
        <v>0</v>
      </c>
      <c r="AC294" s="13">
        <f>IF(AQ294="1",BI294,0)</f>
        <v>0</v>
      </c>
      <c r="AD294" s="13">
        <f>IF(AQ294="7",BH294,0)</f>
        <v>0</v>
      </c>
      <c r="AE294" s="13">
        <f>IF(AQ294="7",BI294,0)</f>
        <v>0</v>
      </c>
      <c r="AF294" s="13">
        <f>IF(AQ294="2",BH294,0)</f>
        <v>0</v>
      </c>
      <c r="AG294" s="13">
        <f>IF(AQ294="2",BI294,0)</f>
        <v>0</v>
      </c>
      <c r="AH294" s="13">
        <f>IF(AQ294="0",BJ294,0)</f>
        <v>0</v>
      </c>
      <c r="AI294" s="30" t="s">
        <v>46</v>
      </c>
      <c r="AJ294" s="13">
        <f>IF(AN294=0,I294,0)</f>
        <v>0</v>
      </c>
      <c r="AK294" s="13">
        <f>IF(AN294=12,I294,0)</f>
        <v>0</v>
      </c>
      <c r="AL294" s="13">
        <f>IF(AN294=21,I294,0)</f>
        <v>0</v>
      </c>
      <c r="AN294" s="13">
        <v>21</v>
      </c>
      <c r="AO294" s="13">
        <f>H294*0.014250974</f>
        <v>0</v>
      </c>
      <c r="AP294" s="13">
        <f>H294*(1-0.014250974)</f>
        <v>0</v>
      </c>
      <c r="AQ294" s="79" t="s">
        <v>70</v>
      </c>
      <c r="AV294" s="13">
        <f>AW294+AX294</f>
        <v>0</v>
      </c>
      <c r="AW294" s="13">
        <f>G294*AO294</f>
        <v>0</v>
      </c>
      <c r="AX294" s="13">
        <f>G294*AP294</f>
        <v>0</v>
      </c>
      <c r="AY294" s="79" t="s">
        <v>868</v>
      </c>
      <c r="AZ294" s="79" t="s">
        <v>879</v>
      </c>
      <c r="BA294" s="30" t="s">
        <v>870</v>
      </c>
      <c r="BC294" s="13">
        <f>AW294+AX294</f>
        <v>0</v>
      </c>
      <c r="BD294" s="13">
        <f>H294/(100-BE294)*100</f>
        <v>0</v>
      </c>
      <c r="BE294" s="13">
        <v>0</v>
      </c>
      <c r="BF294" s="13">
        <f>294</f>
        <v>294</v>
      </c>
      <c r="BH294" s="13">
        <f>G294*AO294</f>
        <v>0</v>
      </c>
      <c r="BI294" s="13">
        <f>G294*AP294</f>
        <v>0</v>
      </c>
      <c r="BJ294" s="13">
        <f>G294*H294</f>
        <v>0</v>
      </c>
      <c r="BK294" s="13"/>
      <c r="BL294" s="13"/>
      <c r="BW294" s="13">
        <v>21</v>
      </c>
    </row>
    <row r="295" spans="1:75" x14ac:dyDescent="0.25">
      <c r="I295" s="18">
        <f>ROUND(I13+I28+I33+I47+I50+I57+I60+I70+I77+I83+I89+I111+I137+I140+I142+I145+I159+I171+I181+I186+I199+I209+I228+I231+I234+I236+I238+I250+I255+I257+I259+I269+I271+I274+I276+I281+I284+I287+I289,0)</f>
        <v>0</v>
      </c>
    </row>
    <row r="296" spans="1:75" x14ac:dyDescent="0.25">
      <c r="A296" s="19" t="s">
        <v>49</v>
      </c>
    </row>
    <row r="297" spans="1:75" ht="40.5" customHeight="1" x14ac:dyDescent="0.25">
      <c r="A297" s="95" t="s">
        <v>50</v>
      </c>
      <c r="B297" s="88"/>
      <c r="C297" s="88"/>
      <c r="D297" s="88"/>
      <c r="E297" s="88"/>
      <c r="F297" s="88"/>
      <c r="G297" s="88"/>
      <c r="H297" s="88"/>
      <c r="I297" s="88"/>
      <c r="J297" s="88"/>
      <c r="K297" s="88"/>
    </row>
  </sheetData>
  <sheetProtection password="C665" sheet="1"/>
  <mergeCells count="311">
    <mergeCell ref="D291:E291"/>
    <mergeCell ref="D292:E292"/>
    <mergeCell ref="D293:E293"/>
    <mergeCell ref="D294:E294"/>
    <mergeCell ref="A297:K297"/>
    <mergeCell ref="D286:K286"/>
    <mergeCell ref="D287:E287"/>
    <mergeCell ref="D288:E288"/>
    <mergeCell ref="D289:E289"/>
    <mergeCell ref="D290:E290"/>
    <mergeCell ref="D281:E281"/>
    <mergeCell ref="D282:E282"/>
    <mergeCell ref="D283:K283"/>
    <mergeCell ref="D284:E284"/>
    <mergeCell ref="D285:E285"/>
    <mergeCell ref="D276:E276"/>
    <mergeCell ref="D277:E277"/>
    <mergeCell ref="D278:E278"/>
    <mergeCell ref="D279:E279"/>
    <mergeCell ref="D280:K280"/>
    <mergeCell ref="D271:E271"/>
    <mergeCell ref="D272:E272"/>
    <mergeCell ref="D273:K273"/>
    <mergeCell ref="D274:E274"/>
    <mergeCell ref="D275:E275"/>
    <mergeCell ref="D266:E266"/>
    <mergeCell ref="D267:K267"/>
    <mergeCell ref="D268:E268"/>
    <mergeCell ref="D269:E269"/>
    <mergeCell ref="D270:E270"/>
    <mergeCell ref="D261:E261"/>
    <mergeCell ref="D262:E262"/>
    <mergeCell ref="D263:E263"/>
    <mergeCell ref="D264:E264"/>
    <mergeCell ref="D265:E265"/>
    <mergeCell ref="D256:E256"/>
    <mergeCell ref="D257:E257"/>
    <mergeCell ref="D258:E258"/>
    <mergeCell ref="D259:E259"/>
    <mergeCell ref="D260:E260"/>
    <mergeCell ref="D251:E251"/>
    <mergeCell ref="D252:E252"/>
    <mergeCell ref="D253:E253"/>
    <mergeCell ref="D254:E254"/>
    <mergeCell ref="D255:E255"/>
    <mergeCell ref="D246:E246"/>
    <mergeCell ref="D247:E247"/>
    <mergeCell ref="D248:E248"/>
    <mergeCell ref="D249:E249"/>
    <mergeCell ref="D250:E250"/>
    <mergeCell ref="D241:E241"/>
    <mergeCell ref="D242:E242"/>
    <mergeCell ref="D243:K243"/>
    <mergeCell ref="D244:E244"/>
    <mergeCell ref="D245:E245"/>
    <mergeCell ref="D236:E236"/>
    <mergeCell ref="D237:E237"/>
    <mergeCell ref="D238:E238"/>
    <mergeCell ref="D239:E239"/>
    <mergeCell ref="D240:K240"/>
    <mergeCell ref="D231:E231"/>
    <mergeCell ref="D232:E232"/>
    <mergeCell ref="D233:E233"/>
    <mergeCell ref="D234:E234"/>
    <mergeCell ref="D235:E235"/>
    <mergeCell ref="D226:K226"/>
    <mergeCell ref="D227:E227"/>
    <mergeCell ref="D228:E228"/>
    <mergeCell ref="D229:E229"/>
    <mergeCell ref="D230:K230"/>
    <mergeCell ref="D221:E221"/>
    <mergeCell ref="D222:E222"/>
    <mergeCell ref="D223:E223"/>
    <mergeCell ref="D224:E224"/>
    <mergeCell ref="D225:E225"/>
    <mergeCell ref="D216:E216"/>
    <mergeCell ref="D217:K217"/>
    <mergeCell ref="D218:E218"/>
    <mergeCell ref="D219:K219"/>
    <mergeCell ref="D220:E220"/>
    <mergeCell ref="D211:E211"/>
    <mergeCell ref="D212:E212"/>
    <mergeCell ref="D213:E213"/>
    <mergeCell ref="D214:E214"/>
    <mergeCell ref="D215:E215"/>
    <mergeCell ref="D206:E206"/>
    <mergeCell ref="D207:E207"/>
    <mergeCell ref="D208:E208"/>
    <mergeCell ref="D209:E209"/>
    <mergeCell ref="D210:E210"/>
    <mergeCell ref="D201:K201"/>
    <mergeCell ref="D202:E202"/>
    <mergeCell ref="D203:E203"/>
    <mergeCell ref="D204:E204"/>
    <mergeCell ref="D205:E205"/>
    <mergeCell ref="D196:E196"/>
    <mergeCell ref="D197:K197"/>
    <mergeCell ref="D198:E198"/>
    <mergeCell ref="D199:E199"/>
    <mergeCell ref="D200:E200"/>
    <mergeCell ref="D191:K191"/>
    <mergeCell ref="D192:E192"/>
    <mergeCell ref="D193:K193"/>
    <mergeCell ref="D194:E194"/>
    <mergeCell ref="D195:K195"/>
    <mergeCell ref="D186:E186"/>
    <mergeCell ref="D187:E187"/>
    <mergeCell ref="D188:E188"/>
    <mergeCell ref="D189:E189"/>
    <mergeCell ref="D190:E190"/>
    <mergeCell ref="D181:E181"/>
    <mergeCell ref="D182:E182"/>
    <mergeCell ref="D183:K183"/>
    <mergeCell ref="D184:E184"/>
    <mergeCell ref="D185:E185"/>
    <mergeCell ref="D176:E176"/>
    <mergeCell ref="D177:K177"/>
    <mergeCell ref="D178:E178"/>
    <mergeCell ref="D179:K179"/>
    <mergeCell ref="D180:E180"/>
    <mergeCell ref="D171:E171"/>
    <mergeCell ref="D172:E172"/>
    <mergeCell ref="D173:E173"/>
    <mergeCell ref="D174:E174"/>
    <mergeCell ref="D175:E175"/>
    <mergeCell ref="D166:E166"/>
    <mergeCell ref="D167:E167"/>
    <mergeCell ref="D168:E168"/>
    <mergeCell ref="D169:E169"/>
    <mergeCell ref="D170:E170"/>
    <mergeCell ref="D161:E161"/>
    <mergeCell ref="D162:K162"/>
    <mergeCell ref="D163:E163"/>
    <mergeCell ref="D164:E164"/>
    <mergeCell ref="D165:K165"/>
    <mergeCell ref="D156:K156"/>
    <mergeCell ref="D157:E157"/>
    <mergeCell ref="D158:E158"/>
    <mergeCell ref="D159:E159"/>
    <mergeCell ref="D160:E160"/>
    <mergeCell ref="D151:E151"/>
    <mergeCell ref="D152:K152"/>
    <mergeCell ref="D153:E153"/>
    <mergeCell ref="D154:K154"/>
    <mergeCell ref="D155:E155"/>
    <mergeCell ref="D146:E146"/>
    <mergeCell ref="D147:E147"/>
    <mergeCell ref="D148:E148"/>
    <mergeCell ref="D149:E149"/>
    <mergeCell ref="D150:E150"/>
    <mergeCell ref="D141:E141"/>
    <mergeCell ref="D142:E142"/>
    <mergeCell ref="D143:E143"/>
    <mergeCell ref="D144:E144"/>
    <mergeCell ref="D145:E145"/>
    <mergeCell ref="D136:E136"/>
    <mergeCell ref="D137:E137"/>
    <mergeCell ref="D138:E138"/>
    <mergeCell ref="D139:E139"/>
    <mergeCell ref="D140:E140"/>
    <mergeCell ref="D131:K131"/>
    <mergeCell ref="D132:E132"/>
    <mergeCell ref="D133:K133"/>
    <mergeCell ref="D134:E134"/>
    <mergeCell ref="D135:K135"/>
    <mergeCell ref="D126:E126"/>
    <mergeCell ref="D127:K127"/>
    <mergeCell ref="D128:E128"/>
    <mergeCell ref="D129:K129"/>
    <mergeCell ref="D130:E130"/>
    <mergeCell ref="D121:E121"/>
    <mergeCell ref="D122:K122"/>
    <mergeCell ref="D123:E123"/>
    <mergeCell ref="D124:E124"/>
    <mergeCell ref="D125:E125"/>
    <mergeCell ref="D116:E116"/>
    <mergeCell ref="D117:E117"/>
    <mergeCell ref="D118:E118"/>
    <mergeCell ref="D119:E119"/>
    <mergeCell ref="D120:K120"/>
    <mergeCell ref="D111:E111"/>
    <mergeCell ref="D112:E112"/>
    <mergeCell ref="D113:E113"/>
    <mergeCell ref="D114:E114"/>
    <mergeCell ref="D115:K115"/>
    <mergeCell ref="D106:E106"/>
    <mergeCell ref="D107:E107"/>
    <mergeCell ref="D108:E108"/>
    <mergeCell ref="D109:K109"/>
    <mergeCell ref="D110:E110"/>
    <mergeCell ref="D101:K101"/>
    <mergeCell ref="D102:E102"/>
    <mergeCell ref="D103:K103"/>
    <mergeCell ref="D104:E104"/>
    <mergeCell ref="D105:K105"/>
    <mergeCell ref="D96:E96"/>
    <mergeCell ref="D97:E97"/>
    <mergeCell ref="D98:E98"/>
    <mergeCell ref="D99:K99"/>
    <mergeCell ref="D100:E100"/>
    <mergeCell ref="D91:E91"/>
    <mergeCell ref="D92:E92"/>
    <mergeCell ref="D93:E93"/>
    <mergeCell ref="D94:E94"/>
    <mergeCell ref="D95:E95"/>
    <mergeCell ref="D86:E86"/>
    <mergeCell ref="D87:E87"/>
    <mergeCell ref="D88:E88"/>
    <mergeCell ref="D89:E89"/>
    <mergeCell ref="D90:E90"/>
    <mergeCell ref="D81:E81"/>
    <mergeCell ref="D82:E82"/>
    <mergeCell ref="D83:E83"/>
    <mergeCell ref="D84:E84"/>
    <mergeCell ref="D85:E85"/>
    <mergeCell ref="D76:K76"/>
    <mergeCell ref="D77:E77"/>
    <mergeCell ref="D78:E78"/>
    <mergeCell ref="D79:E79"/>
    <mergeCell ref="D80:K80"/>
    <mergeCell ref="D71:E71"/>
    <mergeCell ref="D72:K72"/>
    <mergeCell ref="D73:E73"/>
    <mergeCell ref="D74:K74"/>
    <mergeCell ref="D75:E75"/>
    <mergeCell ref="D66:E66"/>
    <mergeCell ref="D67:E67"/>
    <mergeCell ref="D68:E68"/>
    <mergeCell ref="D69:K69"/>
    <mergeCell ref="D70:E70"/>
    <mergeCell ref="D61:E61"/>
    <mergeCell ref="D62:E62"/>
    <mergeCell ref="D63:K63"/>
    <mergeCell ref="D64:E64"/>
    <mergeCell ref="D65:E65"/>
    <mergeCell ref="D56:E56"/>
    <mergeCell ref="D57:E57"/>
    <mergeCell ref="D58:E58"/>
    <mergeCell ref="D59:K59"/>
    <mergeCell ref="D60:E60"/>
    <mergeCell ref="D51:E51"/>
    <mergeCell ref="D52:E52"/>
    <mergeCell ref="D53:K53"/>
    <mergeCell ref="D54:E54"/>
    <mergeCell ref="D55:K55"/>
    <mergeCell ref="D46:E46"/>
    <mergeCell ref="D47:E47"/>
    <mergeCell ref="D48:E48"/>
    <mergeCell ref="D49:E49"/>
    <mergeCell ref="D50:E50"/>
    <mergeCell ref="D41:E41"/>
    <mergeCell ref="D42:E42"/>
    <mergeCell ref="D43:K43"/>
    <mergeCell ref="D44:E44"/>
    <mergeCell ref="D45:K45"/>
    <mergeCell ref="D36:E36"/>
    <mergeCell ref="D37:E37"/>
    <mergeCell ref="D38:K38"/>
    <mergeCell ref="D39:E39"/>
    <mergeCell ref="D40:K40"/>
    <mergeCell ref="D31:E31"/>
    <mergeCell ref="D32:K32"/>
    <mergeCell ref="D33:E33"/>
    <mergeCell ref="D34:E34"/>
    <mergeCell ref="D35:E35"/>
    <mergeCell ref="D26:E26"/>
    <mergeCell ref="D27:E27"/>
    <mergeCell ref="D28:E28"/>
    <mergeCell ref="D29:E29"/>
    <mergeCell ref="D30:E30"/>
    <mergeCell ref="D21:E21"/>
    <mergeCell ref="D22:E22"/>
    <mergeCell ref="D23:K23"/>
    <mergeCell ref="D24:E24"/>
    <mergeCell ref="D25:K25"/>
    <mergeCell ref="D16:E16"/>
    <mergeCell ref="D17:E17"/>
    <mergeCell ref="D18:E18"/>
    <mergeCell ref="D19:E19"/>
    <mergeCell ref="D20:E20"/>
    <mergeCell ref="D11:E11"/>
    <mergeCell ref="D12:E12"/>
    <mergeCell ref="D13:E13"/>
    <mergeCell ref="D14:E14"/>
    <mergeCell ref="D15:E15"/>
    <mergeCell ref="J2:K3"/>
    <mergeCell ref="J4:K5"/>
    <mergeCell ref="J6:K7"/>
    <mergeCell ref="J8:K9"/>
    <mergeCell ref="D10:E10"/>
    <mergeCell ref="D8:E9"/>
    <mergeCell ref="H2:H3"/>
    <mergeCell ref="H4:H5"/>
    <mergeCell ref="H6:H7"/>
    <mergeCell ref="H8:H9"/>
    <mergeCell ref="A1:K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43"/>
  <sheetViews>
    <sheetView topLeftCell="A318" workbookViewId="0">
      <selection activeCell="D346" sqref="D346"/>
    </sheetView>
  </sheetViews>
  <sheetFormatPr defaultColWidth="12.140625" defaultRowHeight="15" customHeight="1" x14ac:dyDescent="0.25"/>
  <cols>
    <col min="1" max="2" width="9.140625" customWidth="1"/>
    <col min="3" max="3" width="14.28515625" customWidth="1"/>
    <col min="4" max="4" width="95.5703125" customWidth="1"/>
    <col min="5" max="5" width="14.28515625" customWidth="1"/>
    <col min="6" max="6" width="24.140625" customWidth="1"/>
    <col min="7" max="7" width="15.7109375" customWidth="1"/>
    <col min="8" max="8" width="20" customWidth="1"/>
  </cols>
  <sheetData>
    <row r="1" spans="1:8" ht="54.75" customHeight="1" x14ac:dyDescent="0.25">
      <c r="A1" s="84" t="s">
        <v>52</v>
      </c>
      <c r="B1" s="84"/>
      <c r="C1" s="84"/>
      <c r="D1" s="84"/>
      <c r="E1" s="84"/>
      <c r="F1" s="84"/>
      <c r="G1" s="84"/>
      <c r="H1" s="84"/>
    </row>
    <row r="2" spans="1:8" x14ac:dyDescent="0.25">
      <c r="A2" s="85" t="s">
        <v>1</v>
      </c>
      <c r="B2" s="86"/>
      <c r="C2" s="92" t="str">
        <f>'Stavební rozpočet'!D2</f>
        <v>Stavební úpravy hygienického zázemí pedagogických pracovníků ve 2NP, ZŠ Smetanův okruh 24/4, Krnov</v>
      </c>
      <c r="D2" s="93"/>
      <c r="E2" s="96" t="s">
        <v>3</v>
      </c>
      <c r="F2" s="96" t="str">
        <f>'Stavební rozpočet'!J2</f>
        <v>Město Krnov</v>
      </c>
      <c r="G2" s="86"/>
      <c r="H2" s="97"/>
    </row>
    <row r="3" spans="1:8" ht="15" customHeight="1" x14ac:dyDescent="0.25">
      <c r="A3" s="87"/>
      <c r="B3" s="88"/>
      <c r="C3" s="94"/>
      <c r="D3" s="94"/>
      <c r="E3" s="88"/>
      <c r="F3" s="88"/>
      <c r="G3" s="88"/>
      <c r="H3" s="98"/>
    </row>
    <row r="4" spans="1:8" x14ac:dyDescent="0.25">
      <c r="A4" s="89" t="s">
        <v>4</v>
      </c>
      <c r="B4" s="88"/>
      <c r="C4" s="95" t="str">
        <f>'Stavební rozpočet'!D4</f>
        <v xml:space="preserve"> </v>
      </c>
      <c r="D4" s="88"/>
      <c r="E4" s="95" t="s">
        <v>6</v>
      </c>
      <c r="F4" s="95" t="str">
        <f>'Stavební rozpočet'!J4</f>
        <v>Radovan Zatloukal</v>
      </c>
      <c r="G4" s="88"/>
      <c r="H4" s="98"/>
    </row>
    <row r="5" spans="1:8" ht="15" customHeight="1" x14ac:dyDescent="0.25">
      <c r="A5" s="87"/>
      <c r="B5" s="88"/>
      <c r="C5" s="88"/>
      <c r="D5" s="88"/>
      <c r="E5" s="88"/>
      <c r="F5" s="88"/>
      <c r="G5" s="88"/>
      <c r="H5" s="98"/>
    </row>
    <row r="6" spans="1:8" x14ac:dyDescent="0.25">
      <c r="A6" s="89" t="s">
        <v>7</v>
      </c>
      <c r="B6" s="88"/>
      <c r="C6" s="95" t="str">
        <f>'Stavební rozpočet'!D6</f>
        <v>k.ú. Krnov- Horní Předměstí [674737]</v>
      </c>
      <c r="D6" s="88"/>
      <c r="E6" s="95" t="s">
        <v>9</v>
      </c>
      <c r="F6" s="95" t="str">
        <f>'Stavební rozpočet'!J6</f>
        <v> </v>
      </c>
      <c r="G6" s="88"/>
      <c r="H6" s="98"/>
    </row>
    <row r="7" spans="1:8" ht="15" customHeight="1" x14ac:dyDescent="0.25">
      <c r="A7" s="87"/>
      <c r="B7" s="88"/>
      <c r="C7" s="88"/>
      <c r="D7" s="88"/>
      <c r="E7" s="88"/>
      <c r="F7" s="88"/>
      <c r="G7" s="88"/>
      <c r="H7" s="98"/>
    </row>
    <row r="8" spans="1:8" x14ac:dyDescent="0.25">
      <c r="A8" s="89" t="s">
        <v>12</v>
      </c>
      <c r="B8" s="88"/>
      <c r="C8" s="95" t="str">
        <f>'Stavební rozpočet'!J8</f>
        <v>Kamil Beck</v>
      </c>
      <c r="D8" s="88"/>
      <c r="E8" s="95" t="s">
        <v>11</v>
      </c>
      <c r="F8" s="95" t="str">
        <f>'Stavební rozpočet'!H8</f>
        <v>01.03.2024</v>
      </c>
      <c r="G8" s="88"/>
      <c r="H8" s="98"/>
    </row>
    <row r="9" spans="1:8" x14ac:dyDescent="0.25">
      <c r="A9" s="90"/>
      <c r="B9" s="91"/>
      <c r="C9" s="91"/>
      <c r="D9" s="91"/>
      <c r="E9" s="91"/>
      <c r="F9" s="91"/>
      <c r="G9" s="91"/>
      <c r="H9" s="99"/>
    </row>
    <row r="10" spans="1:8" x14ac:dyDescent="0.25">
      <c r="A10" s="20" t="s">
        <v>53</v>
      </c>
      <c r="B10" s="21" t="s">
        <v>15</v>
      </c>
      <c r="C10" s="21" t="s">
        <v>16</v>
      </c>
      <c r="D10" s="109" t="s">
        <v>54</v>
      </c>
      <c r="E10" s="110"/>
      <c r="F10" s="21" t="s">
        <v>55</v>
      </c>
      <c r="G10" s="22" t="s">
        <v>56</v>
      </c>
      <c r="H10" s="23" t="s">
        <v>57</v>
      </c>
    </row>
    <row r="11" spans="1:8" x14ac:dyDescent="0.25">
      <c r="A11" s="24" t="s">
        <v>20</v>
      </c>
      <c r="B11" s="25" t="s">
        <v>19</v>
      </c>
      <c r="C11" s="25" t="s">
        <v>20</v>
      </c>
      <c r="D11" s="111" t="s">
        <v>21</v>
      </c>
      <c r="E11" s="111"/>
      <c r="F11" s="25" t="s">
        <v>20</v>
      </c>
      <c r="G11" s="26" t="s">
        <v>20</v>
      </c>
      <c r="H11" s="27" t="s">
        <v>20</v>
      </c>
    </row>
    <row r="12" spans="1:8" x14ac:dyDescent="0.25">
      <c r="A12" s="28" t="s">
        <v>20</v>
      </c>
      <c r="B12" s="29" t="s">
        <v>19</v>
      </c>
      <c r="C12" s="29" t="s">
        <v>58</v>
      </c>
      <c r="D12" s="112" t="s">
        <v>21</v>
      </c>
      <c r="E12" s="112"/>
      <c r="F12" s="29" t="s">
        <v>20</v>
      </c>
      <c r="G12" s="30" t="s">
        <v>20</v>
      </c>
      <c r="H12" s="31" t="s">
        <v>20</v>
      </c>
    </row>
    <row r="13" spans="1:8" x14ac:dyDescent="0.25">
      <c r="A13" s="1" t="s">
        <v>23</v>
      </c>
      <c r="B13" s="2" t="s">
        <v>19</v>
      </c>
      <c r="C13" s="2" t="s">
        <v>59</v>
      </c>
      <c r="D13" s="88" t="s">
        <v>60</v>
      </c>
      <c r="E13" s="88"/>
      <c r="F13" s="2" t="s">
        <v>61</v>
      </c>
      <c r="G13" s="13">
        <v>1</v>
      </c>
      <c r="H13" s="14">
        <v>0</v>
      </c>
    </row>
    <row r="14" spans="1:8" x14ac:dyDescent="0.25">
      <c r="A14" s="1" t="s">
        <v>62</v>
      </c>
      <c r="B14" s="2" t="s">
        <v>19</v>
      </c>
      <c r="C14" s="2" t="s">
        <v>63</v>
      </c>
      <c r="D14" s="88" t="s">
        <v>64</v>
      </c>
      <c r="E14" s="88"/>
      <c r="F14" s="2" t="s">
        <v>61</v>
      </c>
      <c r="G14" s="13">
        <v>1</v>
      </c>
      <c r="H14" s="14">
        <v>0</v>
      </c>
    </row>
    <row r="15" spans="1:8" x14ac:dyDescent="0.25">
      <c r="A15" s="1" t="s">
        <v>28</v>
      </c>
      <c r="B15" s="2" t="s">
        <v>19</v>
      </c>
      <c r="C15" s="2" t="s">
        <v>65</v>
      </c>
      <c r="D15" s="88" t="s">
        <v>66</v>
      </c>
      <c r="E15" s="88"/>
      <c r="F15" s="2" t="s">
        <v>61</v>
      </c>
      <c r="G15" s="13">
        <v>1</v>
      </c>
      <c r="H15" s="14">
        <v>0</v>
      </c>
    </row>
    <row r="16" spans="1:8" x14ac:dyDescent="0.25">
      <c r="A16" s="1" t="s">
        <v>67</v>
      </c>
      <c r="B16" s="2" t="s">
        <v>19</v>
      </c>
      <c r="C16" s="2" t="s">
        <v>68</v>
      </c>
      <c r="D16" s="88" t="s">
        <v>69</v>
      </c>
      <c r="E16" s="88"/>
      <c r="F16" s="2" t="s">
        <v>61</v>
      </c>
      <c r="G16" s="13">
        <v>1</v>
      </c>
      <c r="H16" s="14">
        <v>0</v>
      </c>
    </row>
    <row r="17" spans="1:8" x14ac:dyDescent="0.25">
      <c r="A17" s="1" t="s">
        <v>70</v>
      </c>
      <c r="B17" s="2" t="s">
        <v>19</v>
      </c>
      <c r="C17" s="2" t="s">
        <v>71</v>
      </c>
      <c r="D17" s="88" t="s">
        <v>72</v>
      </c>
      <c r="E17" s="88"/>
      <c r="F17" s="2" t="s">
        <v>61</v>
      </c>
      <c r="G17" s="13">
        <v>1</v>
      </c>
      <c r="H17" s="14">
        <v>0</v>
      </c>
    </row>
    <row r="18" spans="1:8" x14ac:dyDescent="0.25">
      <c r="A18" s="1" t="s">
        <v>30</v>
      </c>
      <c r="B18" s="2" t="s">
        <v>19</v>
      </c>
      <c r="C18" s="2" t="s">
        <v>73</v>
      </c>
      <c r="D18" s="88" t="s">
        <v>74</v>
      </c>
      <c r="E18" s="88"/>
      <c r="F18" s="2" t="s">
        <v>61</v>
      </c>
      <c r="G18" s="13">
        <v>1</v>
      </c>
      <c r="H18" s="14">
        <v>0</v>
      </c>
    </row>
    <row r="19" spans="1:8" x14ac:dyDescent="0.25">
      <c r="A19" s="1" t="s">
        <v>75</v>
      </c>
      <c r="B19" s="2" t="s">
        <v>19</v>
      </c>
      <c r="C19" s="2" t="s">
        <v>76</v>
      </c>
      <c r="D19" s="88" t="s">
        <v>77</v>
      </c>
      <c r="E19" s="88"/>
      <c r="F19" s="2" t="s">
        <v>61</v>
      </c>
      <c r="G19" s="13">
        <v>1</v>
      </c>
      <c r="H19" s="14">
        <v>0</v>
      </c>
    </row>
    <row r="20" spans="1:8" x14ac:dyDescent="0.25">
      <c r="A20" s="1" t="s">
        <v>78</v>
      </c>
      <c r="B20" s="2" t="s">
        <v>19</v>
      </c>
      <c r="C20" s="2" t="s">
        <v>79</v>
      </c>
      <c r="D20" s="88" t="s">
        <v>80</v>
      </c>
      <c r="E20" s="88"/>
      <c r="F20" s="2" t="s">
        <v>61</v>
      </c>
      <c r="G20" s="13">
        <v>1</v>
      </c>
      <c r="H20" s="14">
        <v>0</v>
      </c>
    </row>
    <row r="21" spans="1:8" x14ac:dyDescent="0.25">
      <c r="A21" s="1" t="s">
        <v>44</v>
      </c>
      <c r="B21" s="2" t="s">
        <v>19</v>
      </c>
      <c r="C21" s="2" t="s">
        <v>81</v>
      </c>
      <c r="D21" s="88" t="s">
        <v>82</v>
      </c>
      <c r="E21" s="88"/>
      <c r="F21" s="2" t="s">
        <v>61</v>
      </c>
      <c r="G21" s="13">
        <v>1</v>
      </c>
      <c r="H21" s="14">
        <v>0</v>
      </c>
    </row>
    <row r="22" spans="1:8" ht="40.5" customHeight="1" x14ac:dyDescent="0.25">
      <c r="A22" s="32"/>
      <c r="C22" s="33" t="s">
        <v>49</v>
      </c>
      <c r="D22" s="113" t="s">
        <v>83</v>
      </c>
      <c r="E22" s="114"/>
      <c r="F22" s="114"/>
      <c r="G22" s="114"/>
      <c r="H22" s="34"/>
    </row>
    <row r="23" spans="1:8" x14ac:dyDescent="0.25">
      <c r="A23" s="1" t="s">
        <v>84</v>
      </c>
      <c r="B23" s="2" t="s">
        <v>19</v>
      </c>
      <c r="C23" s="2" t="s">
        <v>85</v>
      </c>
      <c r="D23" s="88" t="s">
        <v>86</v>
      </c>
      <c r="E23" s="88"/>
      <c r="F23" s="2" t="s">
        <v>61</v>
      </c>
      <c r="G23" s="13">
        <v>1</v>
      </c>
      <c r="H23" s="14">
        <v>0</v>
      </c>
    </row>
    <row r="24" spans="1:8" ht="40.5" customHeight="1" x14ac:dyDescent="0.25">
      <c r="A24" s="32"/>
      <c r="C24" s="33" t="s">
        <v>49</v>
      </c>
      <c r="D24" s="113" t="s">
        <v>87</v>
      </c>
      <c r="E24" s="114"/>
      <c r="F24" s="114"/>
      <c r="G24" s="114"/>
      <c r="H24" s="34"/>
    </row>
    <row r="25" spans="1:8" x14ac:dyDescent="0.25">
      <c r="A25" s="1" t="s">
        <v>88</v>
      </c>
      <c r="B25" s="2" t="s">
        <v>19</v>
      </c>
      <c r="C25" s="2" t="s">
        <v>89</v>
      </c>
      <c r="D25" s="88" t="s">
        <v>90</v>
      </c>
      <c r="E25" s="88"/>
      <c r="F25" s="2" t="s">
        <v>91</v>
      </c>
      <c r="G25" s="13">
        <v>14</v>
      </c>
      <c r="H25" s="14">
        <v>0</v>
      </c>
    </row>
    <row r="26" spans="1:8" x14ac:dyDescent="0.25">
      <c r="A26" s="32"/>
      <c r="D26" s="35" t="s">
        <v>92</v>
      </c>
      <c r="E26" s="115" t="s">
        <v>20</v>
      </c>
      <c r="F26" s="115"/>
      <c r="G26" s="36">
        <v>14</v>
      </c>
      <c r="H26" s="34"/>
    </row>
    <row r="27" spans="1:8" x14ac:dyDescent="0.25">
      <c r="A27" s="28" t="s">
        <v>20</v>
      </c>
      <c r="B27" s="29" t="s">
        <v>26</v>
      </c>
      <c r="C27" s="29" t="s">
        <v>20</v>
      </c>
      <c r="D27" s="112" t="s">
        <v>27</v>
      </c>
      <c r="E27" s="112"/>
      <c r="F27" s="29" t="s">
        <v>20</v>
      </c>
      <c r="G27" s="30" t="s">
        <v>20</v>
      </c>
      <c r="H27" s="31" t="s">
        <v>20</v>
      </c>
    </row>
    <row r="28" spans="1:8" x14ac:dyDescent="0.25">
      <c r="A28" s="28" t="s">
        <v>20</v>
      </c>
      <c r="B28" s="29" t="s">
        <v>26</v>
      </c>
      <c r="C28" s="29" t="s">
        <v>93</v>
      </c>
      <c r="D28" s="112" t="s">
        <v>94</v>
      </c>
      <c r="E28" s="112"/>
      <c r="F28" s="29" t="s">
        <v>20</v>
      </c>
      <c r="G28" s="30" t="s">
        <v>20</v>
      </c>
      <c r="H28" s="31" t="s">
        <v>20</v>
      </c>
    </row>
    <row r="29" spans="1:8" x14ac:dyDescent="0.25">
      <c r="A29" s="1" t="s">
        <v>95</v>
      </c>
      <c r="B29" s="2" t="s">
        <v>26</v>
      </c>
      <c r="C29" s="2" t="s">
        <v>96</v>
      </c>
      <c r="D29" s="88" t="s">
        <v>97</v>
      </c>
      <c r="E29" s="88"/>
      <c r="F29" s="2" t="s">
        <v>91</v>
      </c>
      <c r="G29" s="13">
        <v>119.0031</v>
      </c>
      <c r="H29" s="14">
        <v>0</v>
      </c>
    </row>
    <row r="30" spans="1:8" x14ac:dyDescent="0.25">
      <c r="A30" s="32"/>
      <c r="D30" s="35" t="s">
        <v>98</v>
      </c>
      <c r="E30" s="115" t="s">
        <v>20</v>
      </c>
      <c r="F30" s="115"/>
      <c r="G30" s="36">
        <v>119.0031</v>
      </c>
      <c r="H30" s="34"/>
    </row>
    <row r="31" spans="1:8" x14ac:dyDescent="0.25">
      <c r="A31" s="1" t="s">
        <v>99</v>
      </c>
      <c r="B31" s="2" t="s">
        <v>26</v>
      </c>
      <c r="C31" s="2" t="s">
        <v>100</v>
      </c>
      <c r="D31" s="88" t="s">
        <v>101</v>
      </c>
      <c r="E31" s="88"/>
      <c r="F31" s="2" t="s">
        <v>102</v>
      </c>
      <c r="G31" s="13">
        <v>0.12</v>
      </c>
      <c r="H31" s="14">
        <v>0</v>
      </c>
    </row>
    <row r="32" spans="1:8" x14ac:dyDescent="0.25">
      <c r="A32" s="32"/>
      <c r="D32" s="35" t="s">
        <v>103</v>
      </c>
      <c r="E32" s="115" t="s">
        <v>20</v>
      </c>
      <c r="F32" s="115"/>
      <c r="G32" s="36">
        <v>0.12</v>
      </c>
      <c r="H32" s="34"/>
    </row>
    <row r="33" spans="1:8" x14ac:dyDescent="0.25">
      <c r="A33" s="1" t="s">
        <v>104</v>
      </c>
      <c r="B33" s="2" t="s">
        <v>26</v>
      </c>
      <c r="C33" s="2" t="s">
        <v>105</v>
      </c>
      <c r="D33" s="88" t="s">
        <v>106</v>
      </c>
      <c r="E33" s="88"/>
      <c r="F33" s="2" t="s">
        <v>107</v>
      </c>
      <c r="G33" s="13">
        <v>1</v>
      </c>
      <c r="H33" s="14">
        <v>0</v>
      </c>
    </row>
    <row r="34" spans="1:8" x14ac:dyDescent="0.25">
      <c r="A34" s="28" t="s">
        <v>20</v>
      </c>
      <c r="B34" s="29" t="s">
        <v>26</v>
      </c>
      <c r="C34" s="29" t="s">
        <v>108</v>
      </c>
      <c r="D34" s="112" t="s">
        <v>109</v>
      </c>
      <c r="E34" s="112"/>
      <c r="F34" s="29" t="s">
        <v>20</v>
      </c>
      <c r="G34" s="30" t="s">
        <v>20</v>
      </c>
      <c r="H34" s="31" t="s">
        <v>20</v>
      </c>
    </row>
    <row r="35" spans="1:8" x14ac:dyDescent="0.25">
      <c r="A35" s="1" t="s">
        <v>110</v>
      </c>
      <c r="B35" s="2" t="s">
        <v>26</v>
      </c>
      <c r="C35" s="2" t="s">
        <v>111</v>
      </c>
      <c r="D35" s="88" t="s">
        <v>112</v>
      </c>
      <c r="E35" s="88"/>
      <c r="F35" s="2" t="s">
        <v>91</v>
      </c>
      <c r="G35" s="13">
        <v>9.5675000000000008</v>
      </c>
      <c r="H35" s="14">
        <v>0</v>
      </c>
    </row>
    <row r="36" spans="1:8" x14ac:dyDescent="0.25">
      <c r="A36" s="32"/>
      <c r="D36" s="35" t="s">
        <v>113</v>
      </c>
      <c r="E36" s="115" t="s">
        <v>20</v>
      </c>
      <c r="F36" s="115"/>
      <c r="G36" s="36">
        <v>9.5675000000000008</v>
      </c>
      <c r="H36" s="34"/>
    </row>
    <row r="37" spans="1:8" x14ac:dyDescent="0.25">
      <c r="A37" s="1" t="s">
        <v>114</v>
      </c>
      <c r="B37" s="2" t="s">
        <v>26</v>
      </c>
      <c r="C37" s="2" t="s">
        <v>115</v>
      </c>
      <c r="D37" s="88" t="s">
        <v>116</v>
      </c>
      <c r="E37" s="88"/>
      <c r="F37" s="2" t="s">
        <v>107</v>
      </c>
      <c r="G37" s="13">
        <v>2</v>
      </c>
      <c r="H37" s="14">
        <v>0</v>
      </c>
    </row>
    <row r="38" spans="1:8" x14ac:dyDescent="0.25">
      <c r="A38" s="1" t="s">
        <v>117</v>
      </c>
      <c r="B38" s="2" t="s">
        <v>26</v>
      </c>
      <c r="C38" s="2" t="s">
        <v>118</v>
      </c>
      <c r="D38" s="88" t="s">
        <v>119</v>
      </c>
      <c r="E38" s="88"/>
      <c r="F38" s="2" t="s">
        <v>107</v>
      </c>
      <c r="G38" s="13">
        <v>2</v>
      </c>
      <c r="H38" s="14">
        <v>0</v>
      </c>
    </row>
    <row r="39" spans="1:8" x14ac:dyDescent="0.25">
      <c r="A39" s="1" t="s">
        <v>120</v>
      </c>
      <c r="B39" s="2" t="s">
        <v>26</v>
      </c>
      <c r="C39" s="2" t="s">
        <v>121</v>
      </c>
      <c r="D39" s="88" t="s">
        <v>122</v>
      </c>
      <c r="E39" s="88"/>
      <c r="F39" s="2" t="s">
        <v>91</v>
      </c>
      <c r="G39" s="13">
        <v>21.939499999999999</v>
      </c>
      <c r="H39" s="14">
        <v>0</v>
      </c>
    </row>
    <row r="40" spans="1:8" x14ac:dyDescent="0.25">
      <c r="A40" s="32"/>
      <c r="D40" s="35" t="s">
        <v>123</v>
      </c>
      <c r="E40" s="115" t="s">
        <v>20</v>
      </c>
      <c r="F40" s="115"/>
      <c r="G40" s="36">
        <v>21.939499999999999</v>
      </c>
      <c r="H40" s="34"/>
    </row>
    <row r="41" spans="1:8" x14ac:dyDescent="0.25">
      <c r="A41" s="1" t="s">
        <v>124</v>
      </c>
      <c r="B41" s="2" t="s">
        <v>26</v>
      </c>
      <c r="C41" s="2" t="s">
        <v>125</v>
      </c>
      <c r="D41" s="88" t="s">
        <v>126</v>
      </c>
      <c r="E41" s="88"/>
      <c r="F41" s="2" t="s">
        <v>127</v>
      </c>
      <c r="G41" s="13">
        <v>8.9</v>
      </c>
      <c r="H41" s="14">
        <v>0</v>
      </c>
    </row>
    <row r="42" spans="1:8" x14ac:dyDescent="0.25">
      <c r="A42" s="32"/>
      <c r="D42" s="35" t="s">
        <v>128</v>
      </c>
      <c r="E42" s="115" t="s">
        <v>20</v>
      </c>
      <c r="F42" s="115"/>
      <c r="G42" s="36">
        <v>8.9</v>
      </c>
      <c r="H42" s="34"/>
    </row>
    <row r="43" spans="1:8" x14ac:dyDescent="0.25">
      <c r="A43" s="1" t="s">
        <v>129</v>
      </c>
      <c r="B43" s="2" t="s">
        <v>26</v>
      </c>
      <c r="C43" s="2" t="s">
        <v>130</v>
      </c>
      <c r="D43" s="88" t="s">
        <v>131</v>
      </c>
      <c r="E43" s="88"/>
      <c r="F43" s="2" t="s">
        <v>127</v>
      </c>
      <c r="G43" s="13">
        <v>8.9</v>
      </c>
      <c r="H43" s="14">
        <v>0</v>
      </c>
    </row>
    <row r="44" spans="1:8" x14ac:dyDescent="0.25">
      <c r="A44" s="1" t="s">
        <v>132</v>
      </c>
      <c r="B44" s="2" t="s">
        <v>26</v>
      </c>
      <c r="C44" s="2" t="s">
        <v>133</v>
      </c>
      <c r="D44" s="88" t="s">
        <v>134</v>
      </c>
      <c r="E44" s="88"/>
      <c r="F44" s="2" t="s">
        <v>91</v>
      </c>
      <c r="G44" s="13">
        <v>0.60199999999999998</v>
      </c>
      <c r="H44" s="14">
        <v>0</v>
      </c>
    </row>
    <row r="45" spans="1:8" x14ac:dyDescent="0.25">
      <c r="A45" s="32"/>
      <c r="D45" s="35" t="s">
        <v>135</v>
      </c>
      <c r="E45" s="115" t="s">
        <v>20</v>
      </c>
      <c r="F45" s="115"/>
      <c r="G45" s="36">
        <v>0.60199999999999998</v>
      </c>
      <c r="H45" s="34"/>
    </row>
    <row r="46" spans="1:8" x14ac:dyDescent="0.25">
      <c r="A46" s="1" t="s">
        <v>136</v>
      </c>
      <c r="B46" s="2" t="s">
        <v>26</v>
      </c>
      <c r="C46" s="2" t="s">
        <v>137</v>
      </c>
      <c r="D46" s="88" t="s">
        <v>138</v>
      </c>
      <c r="E46" s="88"/>
      <c r="F46" s="2" t="s">
        <v>91</v>
      </c>
      <c r="G46" s="13">
        <v>17.574750000000002</v>
      </c>
      <c r="H46" s="14">
        <v>0</v>
      </c>
    </row>
    <row r="47" spans="1:8" x14ac:dyDescent="0.25">
      <c r="A47" s="32"/>
      <c r="D47" s="35" t="s">
        <v>139</v>
      </c>
      <c r="E47" s="115" t="s">
        <v>20</v>
      </c>
      <c r="F47" s="115"/>
      <c r="G47" s="36">
        <v>17.574750000000002</v>
      </c>
      <c r="H47" s="34"/>
    </row>
    <row r="48" spans="1:8" x14ac:dyDescent="0.25">
      <c r="A48" s="1" t="s">
        <v>140</v>
      </c>
      <c r="B48" s="2" t="s">
        <v>26</v>
      </c>
      <c r="C48" s="2" t="s">
        <v>141</v>
      </c>
      <c r="D48" s="88" t="s">
        <v>142</v>
      </c>
      <c r="E48" s="88"/>
      <c r="F48" s="2" t="s">
        <v>91</v>
      </c>
      <c r="G48" s="13">
        <v>7.9039999999999999</v>
      </c>
      <c r="H48" s="14">
        <v>0</v>
      </c>
    </row>
    <row r="49" spans="1:8" x14ac:dyDescent="0.25">
      <c r="A49" s="32"/>
      <c r="D49" s="35" t="s">
        <v>143</v>
      </c>
      <c r="E49" s="115" t="s">
        <v>20</v>
      </c>
      <c r="F49" s="115"/>
      <c r="G49" s="36">
        <v>7.9039999999999999</v>
      </c>
      <c r="H49" s="34"/>
    </row>
    <row r="50" spans="1:8" x14ac:dyDescent="0.25">
      <c r="A50" s="28" t="s">
        <v>20</v>
      </c>
      <c r="B50" s="29" t="s">
        <v>26</v>
      </c>
      <c r="C50" s="29" t="s">
        <v>144</v>
      </c>
      <c r="D50" s="112" t="s">
        <v>145</v>
      </c>
      <c r="E50" s="112"/>
      <c r="F50" s="29" t="s">
        <v>20</v>
      </c>
      <c r="G50" s="30" t="s">
        <v>20</v>
      </c>
      <c r="H50" s="31" t="s">
        <v>20</v>
      </c>
    </row>
    <row r="51" spans="1:8" x14ac:dyDescent="0.25">
      <c r="A51" s="1" t="s">
        <v>146</v>
      </c>
      <c r="B51" s="2" t="s">
        <v>26</v>
      </c>
      <c r="C51" s="2" t="s">
        <v>147</v>
      </c>
      <c r="D51" s="88" t="s">
        <v>148</v>
      </c>
      <c r="E51" s="88"/>
      <c r="F51" s="2" t="s">
        <v>91</v>
      </c>
      <c r="G51" s="13">
        <v>88.36</v>
      </c>
      <c r="H51" s="14">
        <v>0</v>
      </c>
    </row>
    <row r="52" spans="1:8" x14ac:dyDescent="0.25">
      <c r="A52" s="32"/>
      <c r="D52" s="35" t="s">
        <v>149</v>
      </c>
      <c r="E52" s="115" t="s">
        <v>20</v>
      </c>
      <c r="F52" s="115"/>
      <c r="G52" s="36">
        <v>72.344750000000005</v>
      </c>
      <c r="H52" s="34"/>
    </row>
    <row r="53" spans="1:8" x14ac:dyDescent="0.25">
      <c r="A53" s="1" t="s">
        <v>20</v>
      </c>
      <c r="B53" s="2" t="s">
        <v>20</v>
      </c>
      <c r="C53" s="2" t="s">
        <v>20</v>
      </c>
      <c r="D53" s="35" t="s">
        <v>150</v>
      </c>
      <c r="E53" s="115" t="s">
        <v>20</v>
      </c>
      <c r="F53" s="115"/>
      <c r="G53" s="36">
        <v>16.015250000000002</v>
      </c>
      <c r="H53" s="37" t="s">
        <v>20</v>
      </c>
    </row>
    <row r="54" spans="1:8" x14ac:dyDescent="0.25">
      <c r="A54" s="1" t="s">
        <v>151</v>
      </c>
      <c r="B54" s="2" t="s">
        <v>26</v>
      </c>
      <c r="C54" s="2" t="s">
        <v>152</v>
      </c>
      <c r="D54" s="88" t="s">
        <v>153</v>
      </c>
      <c r="E54" s="88"/>
      <c r="F54" s="2" t="s">
        <v>91</v>
      </c>
      <c r="G54" s="13">
        <v>88.36</v>
      </c>
      <c r="H54" s="14">
        <v>0</v>
      </c>
    </row>
    <row r="55" spans="1:8" x14ac:dyDescent="0.25">
      <c r="A55" s="32"/>
      <c r="D55" s="35" t="s">
        <v>149</v>
      </c>
      <c r="E55" s="115" t="s">
        <v>20</v>
      </c>
      <c r="F55" s="115"/>
      <c r="G55" s="36">
        <v>72.344750000000005</v>
      </c>
      <c r="H55" s="34"/>
    </row>
    <row r="56" spans="1:8" x14ac:dyDescent="0.25">
      <c r="A56" s="1" t="s">
        <v>20</v>
      </c>
      <c r="B56" s="2" t="s">
        <v>20</v>
      </c>
      <c r="C56" s="2" t="s">
        <v>20</v>
      </c>
      <c r="D56" s="35" t="s">
        <v>150</v>
      </c>
      <c r="E56" s="115" t="s">
        <v>20</v>
      </c>
      <c r="F56" s="115"/>
      <c r="G56" s="36">
        <v>16.015250000000002</v>
      </c>
      <c r="H56" s="37" t="s">
        <v>20</v>
      </c>
    </row>
    <row r="57" spans="1:8" x14ac:dyDescent="0.25">
      <c r="A57" s="28" t="s">
        <v>20</v>
      </c>
      <c r="B57" s="29" t="s">
        <v>26</v>
      </c>
      <c r="C57" s="29" t="s">
        <v>154</v>
      </c>
      <c r="D57" s="112" t="s">
        <v>155</v>
      </c>
      <c r="E57" s="112"/>
      <c r="F57" s="29" t="s">
        <v>20</v>
      </c>
      <c r="G57" s="30" t="s">
        <v>20</v>
      </c>
      <c r="H57" s="31" t="s">
        <v>20</v>
      </c>
    </row>
    <row r="58" spans="1:8" x14ac:dyDescent="0.25">
      <c r="A58" s="1" t="s">
        <v>156</v>
      </c>
      <c r="B58" s="2" t="s">
        <v>26</v>
      </c>
      <c r="C58" s="2" t="s">
        <v>157</v>
      </c>
      <c r="D58" s="88" t="s">
        <v>158</v>
      </c>
      <c r="E58" s="88"/>
      <c r="F58" s="2" t="s">
        <v>91</v>
      </c>
      <c r="G58" s="13">
        <v>23.75</v>
      </c>
      <c r="H58" s="14">
        <v>0</v>
      </c>
    </row>
    <row r="59" spans="1:8" x14ac:dyDescent="0.25">
      <c r="A59" s="1" t="s">
        <v>159</v>
      </c>
      <c r="B59" s="2" t="s">
        <v>26</v>
      </c>
      <c r="C59" s="2" t="s">
        <v>160</v>
      </c>
      <c r="D59" s="88" t="s">
        <v>161</v>
      </c>
      <c r="E59" s="88"/>
      <c r="F59" s="2" t="s">
        <v>91</v>
      </c>
      <c r="G59" s="13">
        <v>9.4</v>
      </c>
      <c r="H59" s="14">
        <v>0</v>
      </c>
    </row>
    <row r="60" spans="1:8" x14ac:dyDescent="0.25">
      <c r="A60" s="32"/>
      <c r="D60" s="35" t="s">
        <v>162</v>
      </c>
      <c r="E60" s="115" t="s">
        <v>20</v>
      </c>
      <c r="F60" s="115"/>
      <c r="G60" s="36">
        <v>9.4</v>
      </c>
      <c r="H60" s="34"/>
    </row>
    <row r="61" spans="1:8" x14ac:dyDescent="0.25">
      <c r="A61" s="1" t="s">
        <v>163</v>
      </c>
      <c r="B61" s="2" t="s">
        <v>26</v>
      </c>
      <c r="C61" s="2" t="s">
        <v>164</v>
      </c>
      <c r="D61" s="88" t="s">
        <v>165</v>
      </c>
      <c r="E61" s="88"/>
      <c r="F61" s="2" t="s">
        <v>91</v>
      </c>
      <c r="G61" s="13">
        <v>19.135000000000002</v>
      </c>
      <c r="H61" s="14">
        <v>0</v>
      </c>
    </row>
    <row r="62" spans="1:8" x14ac:dyDescent="0.25">
      <c r="A62" s="32"/>
      <c r="D62" s="35" t="s">
        <v>166</v>
      </c>
      <c r="E62" s="115" t="s">
        <v>20</v>
      </c>
      <c r="F62" s="115"/>
      <c r="G62" s="36">
        <v>19.135000000000002</v>
      </c>
      <c r="H62" s="34"/>
    </row>
    <row r="63" spans="1:8" x14ac:dyDescent="0.25">
      <c r="A63" s="1" t="s">
        <v>167</v>
      </c>
      <c r="B63" s="2" t="s">
        <v>26</v>
      </c>
      <c r="C63" s="2" t="s">
        <v>168</v>
      </c>
      <c r="D63" s="88" t="s">
        <v>169</v>
      </c>
      <c r="E63" s="88"/>
      <c r="F63" s="2" t="s">
        <v>91</v>
      </c>
      <c r="G63" s="13">
        <v>119.0031</v>
      </c>
      <c r="H63" s="14">
        <v>0</v>
      </c>
    </row>
    <row r="64" spans="1:8" x14ac:dyDescent="0.25">
      <c r="A64" s="32"/>
      <c r="D64" s="35" t="s">
        <v>98</v>
      </c>
      <c r="E64" s="115" t="s">
        <v>20</v>
      </c>
      <c r="F64" s="115"/>
      <c r="G64" s="36">
        <v>119.0031</v>
      </c>
      <c r="H64" s="34"/>
    </row>
    <row r="65" spans="1:8" x14ac:dyDescent="0.25">
      <c r="A65" s="28" t="s">
        <v>20</v>
      </c>
      <c r="B65" s="29" t="s">
        <v>26</v>
      </c>
      <c r="C65" s="29" t="s">
        <v>170</v>
      </c>
      <c r="D65" s="112" t="s">
        <v>171</v>
      </c>
      <c r="E65" s="112"/>
      <c r="F65" s="29" t="s">
        <v>20</v>
      </c>
      <c r="G65" s="30" t="s">
        <v>20</v>
      </c>
      <c r="H65" s="31" t="s">
        <v>20</v>
      </c>
    </row>
    <row r="66" spans="1:8" x14ac:dyDescent="0.25">
      <c r="A66" s="1" t="s">
        <v>172</v>
      </c>
      <c r="B66" s="2" t="s">
        <v>26</v>
      </c>
      <c r="C66" s="2" t="s">
        <v>173</v>
      </c>
      <c r="D66" s="88" t="s">
        <v>174</v>
      </c>
      <c r="E66" s="88"/>
      <c r="F66" s="2" t="s">
        <v>91</v>
      </c>
      <c r="G66" s="13">
        <v>119.0031</v>
      </c>
      <c r="H66" s="14">
        <v>0</v>
      </c>
    </row>
    <row r="67" spans="1:8" x14ac:dyDescent="0.25">
      <c r="A67" s="32"/>
      <c r="D67" s="35" t="s">
        <v>98</v>
      </c>
      <c r="E67" s="115" t="s">
        <v>20</v>
      </c>
      <c r="F67" s="115"/>
      <c r="G67" s="36">
        <v>119.0031</v>
      </c>
      <c r="H67" s="34"/>
    </row>
    <row r="68" spans="1:8" ht="13.5" customHeight="1" x14ac:dyDescent="0.25">
      <c r="A68" s="32"/>
      <c r="C68" s="33" t="s">
        <v>49</v>
      </c>
      <c r="D68" s="113" t="s">
        <v>175</v>
      </c>
      <c r="E68" s="114"/>
      <c r="F68" s="114"/>
      <c r="G68" s="114"/>
      <c r="H68" s="34"/>
    </row>
    <row r="69" spans="1:8" x14ac:dyDescent="0.25">
      <c r="A69" s="28" t="s">
        <v>20</v>
      </c>
      <c r="B69" s="29" t="s">
        <v>26</v>
      </c>
      <c r="C69" s="29" t="s">
        <v>176</v>
      </c>
      <c r="D69" s="112" t="s">
        <v>177</v>
      </c>
      <c r="E69" s="112"/>
      <c r="F69" s="29" t="s">
        <v>20</v>
      </c>
      <c r="G69" s="30" t="s">
        <v>20</v>
      </c>
      <c r="H69" s="31" t="s">
        <v>20</v>
      </c>
    </row>
    <row r="70" spans="1:8" x14ac:dyDescent="0.25">
      <c r="A70" s="1" t="s">
        <v>93</v>
      </c>
      <c r="B70" s="2" t="s">
        <v>26</v>
      </c>
      <c r="C70" s="2" t="s">
        <v>178</v>
      </c>
      <c r="D70" s="88" t="s">
        <v>179</v>
      </c>
      <c r="E70" s="88"/>
      <c r="F70" s="2" t="s">
        <v>102</v>
      </c>
      <c r="G70" s="13">
        <v>2.3342999999999998</v>
      </c>
      <c r="H70" s="14">
        <v>0</v>
      </c>
    </row>
    <row r="71" spans="1:8" x14ac:dyDescent="0.25">
      <c r="A71" s="32"/>
      <c r="D71" s="35" t="s">
        <v>180</v>
      </c>
      <c r="E71" s="115" t="s">
        <v>20</v>
      </c>
      <c r="F71" s="115"/>
      <c r="G71" s="36">
        <v>2.3342999999999998</v>
      </c>
      <c r="H71" s="34"/>
    </row>
    <row r="72" spans="1:8" x14ac:dyDescent="0.25">
      <c r="A72" s="1" t="s">
        <v>181</v>
      </c>
      <c r="B72" s="2" t="s">
        <v>26</v>
      </c>
      <c r="C72" s="2" t="s">
        <v>182</v>
      </c>
      <c r="D72" s="88" t="s">
        <v>183</v>
      </c>
      <c r="E72" s="88"/>
      <c r="F72" s="2" t="s">
        <v>91</v>
      </c>
      <c r="G72" s="13">
        <v>23.343</v>
      </c>
      <c r="H72" s="14">
        <v>0</v>
      </c>
    </row>
    <row r="73" spans="1:8" x14ac:dyDescent="0.25">
      <c r="A73" s="32"/>
      <c r="D73" s="35" t="s">
        <v>184</v>
      </c>
      <c r="E73" s="115" t="s">
        <v>20</v>
      </c>
      <c r="F73" s="115"/>
      <c r="G73" s="36">
        <v>23.343</v>
      </c>
      <c r="H73" s="34"/>
    </row>
    <row r="74" spans="1:8" x14ac:dyDescent="0.25">
      <c r="A74" s="1" t="s">
        <v>185</v>
      </c>
      <c r="B74" s="2" t="s">
        <v>26</v>
      </c>
      <c r="C74" s="2" t="s">
        <v>186</v>
      </c>
      <c r="D74" s="88" t="s">
        <v>187</v>
      </c>
      <c r="E74" s="88"/>
      <c r="F74" s="2" t="s">
        <v>91</v>
      </c>
      <c r="G74" s="13">
        <v>23.343</v>
      </c>
      <c r="H74" s="14">
        <v>0</v>
      </c>
    </row>
    <row r="75" spans="1:8" x14ac:dyDescent="0.25">
      <c r="A75" s="32"/>
      <c r="D75" s="35" t="s">
        <v>184</v>
      </c>
      <c r="E75" s="115" t="s">
        <v>20</v>
      </c>
      <c r="F75" s="115"/>
      <c r="G75" s="36">
        <v>23.343</v>
      </c>
      <c r="H75" s="34"/>
    </row>
    <row r="76" spans="1:8" x14ac:dyDescent="0.25">
      <c r="A76" s="1" t="s">
        <v>108</v>
      </c>
      <c r="B76" s="2" t="s">
        <v>26</v>
      </c>
      <c r="C76" s="2" t="s">
        <v>188</v>
      </c>
      <c r="D76" s="88" t="s">
        <v>189</v>
      </c>
      <c r="E76" s="88"/>
      <c r="F76" s="2" t="s">
        <v>102</v>
      </c>
      <c r="G76" s="13">
        <v>2.7122999999999999</v>
      </c>
      <c r="H76" s="14">
        <v>0</v>
      </c>
    </row>
    <row r="77" spans="1:8" x14ac:dyDescent="0.25">
      <c r="A77" s="32"/>
      <c r="D77" s="35" t="s">
        <v>190</v>
      </c>
      <c r="E77" s="115" t="s">
        <v>20</v>
      </c>
      <c r="F77" s="115"/>
      <c r="G77" s="36">
        <v>2.7122999999999999</v>
      </c>
      <c r="H77" s="34"/>
    </row>
    <row r="78" spans="1:8" x14ac:dyDescent="0.25">
      <c r="A78" s="1" t="s">
        <v>191</v>
      </c>
      <c r="B78" s="2" t="s">
        <v>26</v>
      </c>
      <c r="C78" s="2" t="s">
        <v>192</v>
      </c>
      <c r="D78" s="88" t="s">
        <v>193</v>
      </c>
      <c r="E78" s="88"/>
      <c r="F78" s="2" t="s">
        <v>102</v>
      </c>
      <c r="G78" s="13">
        <v>0.378</v>
      </c>
      <c r="H78" s="14">
        <v>0</v>
      </c>
    </row>
    <row r="79" spans="1:8" x14ac:dyDescent="0.25">
      <c r="A79" s="32"/>
      <c r="D79" s="35" t="s">
        <v>194</v>
      </c>
      <c r="E79" s="115" t="s">
        <v>20</v>
      </c>
      <c r="F79" s="115"/>
      <c r="G79" s="36">
        <v>0.378</v>
      </c>
      <c r="H79" s="34"/>
    </row>
    <row r="80" spans="1:8" x14ac:dyDescent="0.25">
      <c r="A80" s="1" t="s">
        <v>195</v>
      </c>
      <c r="B80" s="2" t="s">
        <v>26</v>
      </c>
      <c r="C80" s="2" t="s">
        <v>196</v>
      </c>
      <c r="D80" s="88" t="s">
        <v>197</v>
      </c>
      <c r="E80" s="88"/>
      <c r="F80" s="2" t="s">
        <v>102</v>
      </c>
      <c r="G80" s="13">
        <v>0.19700000000000001</v>
      </c>
      <c r="H80" s="14">
        <v>0</v>
      </c>
    </row>
    <row r="81" spans="1:8" x14ac:dyDescent="0.25">
      <c r="A81" s="32"/>
      <c r="D81" s="35" t="s">
        <v>198</v>
      </c>
      <c r="E81" s="115" t="s">
        <v>20</v>
      </c>
      <c r="F81" s="115"/>
      <c r="G81" s="36">
        <v>0.19700000000000001</v>
      </c>
      <c r="H81" s="34"/>
    </row>
    <row r="82" spans="1:8" x14ac:dyDescent="0.25">
      <c r="A82" s="1" t="s">
        <v>199</v>
      </c>
      <c r="B82" s="2" t="s">
        <v>26</v>
      </c>
      <c r="C82" s="2" t="s">
        <v>200</v>
      </c>
      <c r="D82" s="88" t="s">
        <v>201</v>
      </c>
      <c r="E82" s="88"/>
      <c r="F82" s="2" t="s">
        <v>202</v>
      </c>
      <c r="G82" s="13">
        <v>3</v>
      </c>
      <c r="H82" s="14">
        <v>0</v>
      </c>
    </row>
    <row r="83" spans="1:8" x14ac:dyDescent="0.25">
      <c r="A83" s="28" t="s">
        <v>20</v>
      </c>
      <c r="B83" s="29" t="s">
        <v>26</v>
      </c>
      <c r="C83" s="29" t="s">
        <v>203</v>
      </c>
      <c r="D83" s="112" t="s">
        <v>204</v>
      </c>
      <c r="E83" s="112"/>
      <c r="F83" s="29" t="s">
        <v>20</v>
      </c>
      <c r="G83" s="30" t="s">
        <v>20</v>
      </c>
      <c r="H83" s="31" t="s">
        <v>20</v>
      </c>
    </row>
    <row r="84" spans="1:8" x14ac:dyDescent="0.25">
      <c r="A84" s="1" t="s">
        <v>205</v>
      </c>
      <c r="B84" s="2" t="s">
        <v>26</v>
      </c>
      <c r="C84" s="2" t="s">
        <v>206</v>
      </c>
      <c r="D84" s="88" t="s">
        <v>207</v>
      </c>
      <c r="E84" s="88"/>
      <c r="F84" s="2" t="s">
        <v>107</v>
      </c>
      <c r="G84" s="13">
        <v>2</v>
      </c>
      <c r="H84" s="14">
        <v>0</v>
      </c>
    </row>
    <row r="85" spans="1:8" x14ac:dyDescent="0.25">
      <c r="A85" s="1" t="s">
        <v>208</v>
      </c>
      <c r="B85" s="2" t="s">
        <v>26</v>
      </c>
      <c r="C85" s="2" t="s">
        <v>209</v>
      </c>
      <c r="D85" s="88" t="s">
        <v>210</v>
      </c>
      <c r="E85" s="88"/>
      <c r="F85" s="2" t="s">
        <v>107</v>
      </c>
      <c r="G85" s="13">
        <v>2</v>
      </c>
      <c r="H85" s="14">
        <v>0</v>
      </c>
    </row>
    <row r="86" spans="1:8" x14ac:dyDescent="0.25">
      <c r="A86" s="1" t="s">
        <v>211</v>
      </c>
      <c r="B86" s="2" t="s">
        <v>26</v>
      </c>
      <c r="C86" s="2" t="s">
        <v>212</v>
      </c>
      <c r="D86" s="88" t="s">
        <v>213</v>
      </c>
      <c r="E86" s="88"/>
      <c r="F86" s="2" t="s">
        <v>61</v>
      </c>
      <c r="G86" s="13">
        <v>1</v>
      </c>
      <c r="H86" s="14">
        <v>0</v>
      </c>
    </row>
    <row r="87" spans="1:8" ht="40.5" customHeight="1" x14ac:dyDescent="0.25">
      <c r="A87" s="32"/>
      <c r="C87" s="33" t="s">
        <v>49</v>
      </c>
      <c r="D87" s="113" t="s">
        <v>214</v>
      </c>
      <c r="E87" s="114"/>
      <c r="F87" s="114"/>
      <c r="G87" s="114"/>
      <c r="H87" s="34"/>
    </row>
    <row r="88" spans="1:8" x14ac:dyDescent="0.25">
      <c r="A88" s="28" t="s">
        <v>20</v>
      </c>
      <c r="B88" s="29" t="s">
        <v>26</v>
      </c>
      <c r="C88" s="29" t="s">
        <v>215</v>
      </c>
      <c r="D88" s="112" t="s">
        <v>216</v>
      </c>
      <c r="E88" s="112"/>
      <c r="F88" s="29" t="s">
        <v>20</v>
      </c>
      <c r="G88" s="30" t="s">
        <v>20</v>
      </c>
      <c r="H88" s="31" t="s">
        <v>20</v>
      </c>
    </row>
    <row r="89" spans="1:8" x14ac:dyDescent="0.25">
      <c r="A89" s="1" t="s">
        <v>217</v>
      </c>
      <c r="B89" s="2" t="s">
        <v>26</v>
      </c>
      <c r="C89" s="2" t="s">
        <v>218</v>
      </c>
      <c r="D89" s="88" t="s">
        <v>219</v>
      </c>
      <c r="E89" s="88"/>
      <c r="F89" s="2" t="s">
        <v>91</v>
      </c>
      <c r="G89" s="13">
        <v>28.597000000000001</v>
      </c>
      <c r="H89" s="14">
        <v>0</v>
      </c>
    </row>
    <row r="90" spans="1:8" x14ac:dyDescent="0.25">
      <c r="A90" s="32"/>
      <c r="D90" s="35" t="s">
        <v>184</v>
      </c>
      <c r="E90" s="115" t="s">
        <v>20</v>
      </c>
      <c r="F90" s="115"/>
      <c r="G90" s="36">
        <v>23.343</v>
      </c>
      <c r="H90" s="34"/>
    </row>
    <row r="91" spans="1:8" x14ac:dyDescent="0.25">
      <c r="A91" s="1" t="s">
        <v>20</v>
      </c>
      <c r="B91" s="2" t="s">
        <v>20</v>
      </c>
      <c r="C91" s="2" t="s">
        <v>20</v>
      </c>
      <c r="D91" s="35" t="s">
        <v>220</v>
      </c>
      <c r="E91" s="115" t="s">
        <v>20</v>
      </c>
      <c r="F91" s="115"/>
      <c r="G91" s="36">
        <v>5.2539999999999996</v>
      </c>
      <c r="H91" s="37" t="s">
        <v>20</v>
      </c>
    </row>
    <row r="92" spans="1:8" x14ac:dyDescent="0.25">
      <c r="A92" s="1" t="s">
        <v>221</v>
      </c>
      <c r="B92" s="2" t="s">
        <v>26</v>
      </c>
      <c r="C92" s="2" t="s">
        <v>222</v>
      </c>
      <c r="D92" s="88" t="s">
        <v>223</v>
      </c>
      <c r="E92" s="88"/>
      <c r="F92" s="2" t="s">
        <v>91</v>
      </c>
      <c r="G92" s="13">
        <v>23.343</v>
      </c>
      <c r="H92" s="14">
        <v>0</v>
      </c>
    </row>
    <row r="93" spans="1:8" x14ac:dyDescent="0.25">
      <c r="A93" s="32"/>
      <c r="D93" s="35" t="s">
        <v>184</v>
      </c>
      <c r="E93" s="115" t="s">
        <v>20</v>
      </c>
      <c r="F93" s="115"/>
      <c r="G93" s="36">
        <v>23.343</v>
      </c>
      <c r="H93" s="34"/>
    </row>
    <row r="94" spans="1:8" x14ac:dyDescent="0.25">
      <c r="A94" s="1" t="s">
        <v>224</v>
      </c>
      <c r="B94" s="2" t="s">
        <v>26</v>
      </c>
      <c r="C94" s="2" t="s">
        <v>225</v>
      </c>
      <c r="D94" s="88" t="s">
        <v>226</v>
      </c>
      <c r="E94" s="88"/>
      <c r="F94" s="2" t="s">
        <v>127</v>
      </c>
      <c r="G94" s="13">
        <v>37.6</v>
      </c>
      <c r="H94" s="14">
        <v>0</v>
      </c>
    </row>
    <row r="95" spans="1:8" x14ac:dyDescent="0.25">
      <c r="A95" s="32"/>
      <c r="D95" s="35" t="s">
        <v>227</v>
      </c>
      <c r="E95" s="115" t="s">
        <v>20</v>
      </c>
      <c r="F95" s="115"/>
      <c r="G95" s="36">
        <v>37.6</v>
      </c>
      <c r="H95" s="34"/>
    </row>
    <row r="96" spans="1:8" x14ac:dyDescent="0.25">
      <c r="A96" s="1" t="s">
        <v>228</v>
      </c>
      <c r="B96" s="2" t="s">
        <v>26</v>
      </c>
      <c r="C96" s="2" t="s">
        <v>229</v>
      </c>
      <c r="D96" s="88" t="s">
        <v>230</v>
      </c>
      <c r="E96" s="88"/>
      <c r="F96" s="2" t="s">
        <v>231</v>
      </c>
      <c r="G96" s="13">
        <v>129.59</v>
      </c>
      <c r="H96" s="14">
        <v>0</v>
      </c>
    </row>
    <row r="97" spans="1:8" x14ac:dyDescent="0.25">
      <c r="A97" s="28" t="s">
        <v>20</v>
      </c>
      <c r="B97" s="29" t="s">
        <v>26</v>
      </c>
      <c r="C97" s="29" t="s">
        <v>232</v>
      </c>
      <c r="D97" s="112" t="s">
        <v>233</v>
      </c>
      <c r="E97" s="112"/>
      <c r="F97" s="29" t="s">
        <v>20</v>
      </c>
      <c r="G97" s="30" t="s">
        <v>20</v>
      </c>
      <c r="H97" s="31" t="s">
        <v>20</v>
      </c>
    </row>
    <row r="98" spans="1:8" x14ac:dyDescent="0.25">
      <c r="A98" s="1" t="s">
        <v>234</v>
      </c>
      <c r="B98" s="2" t="s">
        <v>26</v>
      </c>
      <c r="C98" s="2" t="s">
        <v>235</v>
      </c>
      <c r="D98" s="88" t="s">
        <v>236</v>
      </c>
      <c r="E98" s="88"/>
      <c r="F98" s="2" t="s">
        <v>127</v>
      </c>
      <c r="G98" s="13">
        <v>2</v>
      </c>
      <c r="H98" s="14">
        <v>0</v>
      </c>
    </row>
    <row r="99" spans="1:8" x14ac:dyDescent="0.25">
      <c r="A99" s="1" t="s">
        <v>237</v>
      </c>
      <c r="B99" s="2" t="s">
        <v>26</v>
      </c>
      <c r="C99" s="2" t="s">
        <v>238</v>
      </c>
      <c r="D99" s="88" t="s">
        <v>239</v>
      </c>
      <c r="E99" s="88"/>
      <c r="F99" s="2" t="s">
        <v>127</v>
      </c>
      <c r="G99" s="13">
        <v>3</v>
      </c>
      <c r="H99" s="14">
        <v>0</v>
      </c>
    </row>
    <row r="100" spans="1:8" x14ac:dyDescent="0.25">
      <c r="A100" s="1" t="s">
        <v>240</v>
      </c>
      <c r="B100" s="2" t="s">
        <v>26</v>
      </c>
      <c r="C100" s="2" t="s">
        <v>241</v>
      </c>
      <c r="D100" s="88" t="s">
        <v>242</v>
      </c>
      <c r="E100" s="88"/>
      <c r="F100" s="2" t="s">
        <v>127</v>
      </c>
      <c r="G100" s="13">
        <v>18</v>
      </c>
      <c r="H100" s="14">
        <v>0</v>
      </c>
    </row>
    <row r="101" spans="1:8" x14ac:dyDescent="0.25">
      <c r="A101" s="1" t="s">
        <v>243</v>
      </c>
      <c r="B101" s="2" t="s">
        <v>26</v>
      </c>
      <c r="C101" s="2" t="s">
        <v>244</v>
      </c>
      <c r="D101" s="88" t="s">
        <v>245</v>
      </c>
      <c r="E101" s="88"/>
      <c r="F101" s="2" t="s">
        <v>202</v>
      </c>
      <c r="G101" s="13">
        <v>4</v>
      </c>
      <c r="H101" s="14">
        <v>0</v>
      </c>
    </row>
    <row r="102" spans="1:8" x14ac:dyDescent="0.25">
      <c r="A102" s="1" t="s">
        <v>246</v>
      </c>
      <c r="B102" s="2" t="s">
        <v>26</v>
      </c>
      <c r="C102" s="2" t="s">
        <v>247</v>
      </c>
      <c r="D102" s="88" t="s">
        <v>248</v>
      </c>
      <c r="E102" s="88"/>
      <c r="F102" s="2" t="s">
        <v>231</v>
      </c>
      <c r="G102" s="13">
        <v>161.97</v>
      </c>
      <c r="H102" s="14">
        <v>0</v>
      </c>
    </row>
    <row r="103" spans="1:8" x14ac:dyDescent="0.25">
      <c r="A103" s="28" t="s">
        <v>20</v>
      </c>
      <c r="B103" s="29" t="s">
        <v>26</v>
      </c>
      <c r="C103" s="29" t="s">
        <v>249</v>
      </c>
      <c r="D103" s="112" t="s">
        <v>250</v>
      </c>
      <c r="E103" s="112"/>
      <c r="F103" s="29" t="s">
        <v>20</v>
      </c>
      <c r="G103" s="30" t="s">
        <v>20</v>
      </c>
      <c r="H103" s="31" t="s">
        <v>20</v>
      </c>
    </row>
    <row r="104" spans="1:8" x14ac:dyDescent="0.25">
      <c r="A104" s="1" t="s">
        <v>251</v>
      </c>
      <c r="B104" s="2" t="s">
        <v>26</v>
      </c>
      <c r="C104" s="2" t="s">
        <v>252</v>
      </c>
      <c r="D104" s="88" t="s">
        <v>253</v>
      </c>
      <c r="E104" s="88"/>
      <c r="F104" s="2" t="s">
        <v>127</v>
      </c>
      <c r="G104" s="13">
        <v>33</v>
      </c>
      <c r="H104" s="14">
        <v>0</v>
      </c>
    </row>
    <row r="105" spans="1:8" x14ac:dyDescent="0.25">
      <c r="A105" s="1" t="s">
        <v>254</v>
      </c>
      <c r="B105" s="2" t="s">
        <v>26</v>
      </c>
      <c r="C105" s="2" t="s">
        <v>255</v>
      </c>
      <c r="D105" s="88" t="s">
        <v>256</v>
      </c>
      <c r="E105" s="88"/>
      <c r="F105" s="2" t="s">
        <v>127</v>
      </c>
      <c r="G105" s="13">
        <v>38</v>
      </c>
      <c r="H105" s="14">
        <v>0</v>
      </c>
    </row>
    <row r="106" spans="1:8" x14ac:dyDescent="0.25">
      <c r="A106" s="1" t="s">
        <v>257</v>
      </c>
      <c r="B106" s="2" t="s">
        <v>26</v>
      </c>
      <c r="C106" s="2" t="s">
        <v>258</v>
      </c>
      <c r="D106" s="88" t="s">
        <v>259</v>
      </c>
      <c r="E106" s="88"/>
      <c r="F106" s="2" t="s">
        <v>127</v>
      </c>
      <c r="G106" s="13">
        <v>7</v>
      </c>
      <c r="H106" s="14">
        <v>0</v>
      </c>
    </row>
    <row r="107" spans="1:8" x14ac:dyDescent="0.25">
      <c r="A107" s="1" t="s">
        <v>260</v>
      </c>
      <c r="B107" s="2" t="s">
        <v>26</v>
      </c>
      <c r="C107" s="2" t="s">
        <v>261</v>
      </c>
      <c r="D107" s="88" t="s">
        <v>262</v>
      </c>
      <c r="E107" s="88"/>
      <c r="F107" s="2" t="s">
        <v>107</v>
      </c>
      <c r="G107" s="13">
        <v>15</v>
      </c>
      <c r="H107" s="14">
        <v>0</v>
      </c>
    </row>
    <row r="108" spans="1:8" x14ac:dyDescent="0.25">
      <c r="A108" s="1" t="s">
        <v>263</v>
      </c>
      <c r="B108" s="2" t="s">
        <v>26</v>
      </c>
      <c r="C108" s="2" t="s">
        <v>264</v>
      </c>
      <c r="D108" s="88" t="s">
        <v>265</v>
      </c>
      <c r="E108" s="88"/>
      <c r="F108" s="2" t="s">
        <v>107</v>
      </c>
      <c r="G108" s="13">
        <v>4</v>
      </c>
      <c r="H108" s="14">
        <v>0</v>
      </c>
    </row>
    <row r="109" spans="1:8" x14ac:dyDescent="0.25">
      <c r="A109" s="1" t="s">
        <v>266</v>
      </c>
      <c r="B109" s="2" t="s">
        <v>26</v>
      </c>
      <c r="C109" s="2" t="s">
        <v>267</v>
      </c>
      <c r="D109" s="88" t="s">
        <v>268</v>
      </c>
      <c r="E109" s="88"/>
      <c r="F109" s="2" t="s">
        <v>107</v>
      </c>
      <c r="G109" s="13">
        <v>1</v>
      </c>
      <c r="H109" s="14">
        <v>0</v>
      </c>
    </row>
    <row r="110" spans="1:8" x14ac:dyDescent="0.25">
      <c r="A110" s="1" t="s">
        <v>269</v>
      </c>
      <c r="B110" s="2" t="s">
        <v>26</v>
      </c>
      <c r="C110" s="2" t="s">
        <v>270</v>
      </c>
      <c r="D110" s="88" t="s">
        <v>271</v>
      </c>
      <c r="E110" s="88"/>
      <c r="F110" s="2" t="s">
        <v>107</v>
      </c>
      <c r="G110" s="13">
        <v>1</v>
      </c>
      <c r="H110" s="14">
        <v>0</v>
      </c>
    </row>
    <row r="111" spans="1:8" x14ac:dyDescent="0.25">
      <c r="A111" s="1" t="s">
        <v>272</v>
      </c>
      <c r="B111" s="2" t="s">
        <v>26</v>
      </c>
      <c r="C111" s="2" t="s">
        <v>273</v>
      </c>
      <c r="D111" s="88" t="s">
        <v>274</v>
      </c>
      <c r="E111" s="88"/>
      <c r="F111" s="2" t="s">
        <v>107</v>
      </c>
      <c r="G111" s="13">
        <v>1</v>
      </c>
      <c r="H111" s="14">
        <v>0</v>
      </c>
    </row>
    <row r="112" spans="1:8" x14ac:dyDescent="0.25">
      <c r="A112" s="1" t="s">
        <v>275</v>
      </c>
      <c r="B112" s="2" t="s">
        <v>26</v>
      </c>
      <c r="C112" s="2" t="s">
        <v>276</v>
      </c>
      <c r="D112" s="88" t="s">
        <v>277</v>
      </c>
      <c r="E112" s="88"/>
      <c r="F112" s="2" t="s">
        <v>127</v>
      </c>
      <c r="G112" s="13">
        <v>33</v>
      </c>
      <c r="H112" s="14">
        <v>0</v>
      </c>
    </row>
    <row r="113" spans="1:8" x14ac:dyDescent="0.25">
      <c r="A113" s="1" t="s">
        <v>278</v>
      </c>
      <c r="B113" s="2" t="s">
        <v>26</v>
      </c>
      <c r="C113" s="2" t="s">
        <v>279</v>
      </c>
      <c r="D113" s="88" t="s">
        <v>277</v>
      </c>
      <c r="E113" s="88"/>
      <c r="F113" s="2" t="s">
        <v>127</v>
      </c>
      <c r="G113" s="13">
        <v>38</v>
      </c>
      <c r="H113" s="14">
        <v>0</v>
      </c>
    </row>
    <row r="114" spans="1:8" x14ac:dyDescent="0.25">
      <c r="A114" s="1" t="s">
        <v>144</v>
      </c>
      <c r="B114" s="2" t="s">
        <v>26</v>
      </c>
      <c r="C114" s="2" t="s">
        <v>280</v>
      </c>
      <c r="D114" s="88" t="s">
        <v>277</v>
      </c>
      <c r="E114" s="88"/>
      <c r="F114" s="2" t="s">
        <v>127</v>
      </c>
      <c r="G114" s="13">
        <v>7</v>
      </c>
      <c r="H114" s="14">
        <v>0</v>
      </c>
    </row>
    <row r="115" spans="1:8" x14ac:dyDescent="0.25">
      <c r="A115" s="1" t="s">
        <v>154</v>
      </c>
      <c r="B115" s="2" t="s">
        <v>26</v>
      </c>
      <c r="C115" s="2" t="s">
        <v>281</v>
      </c>
      <c r="D115" s="88" t="s">
        <v>282</v>
      </c>
      <c r="E115" s="88"/>
      <c r="F115" s="2" t="s">
        <v>283</v>
      </c>
      <c r="G115" s="13">
        <v>6</v>
      </c>
      <c r="H115" s="14">
        <v>0</v>
      </c>
    </row>
    <row r="116" spans="1:8" x14ac:dyDescent="0.25">
      <c r="A116" s="1" t="s">
        <v>170</v>
      </c>
      <c r="B116" s="2" t="s">
        <v>26</v>
      </c>
      <c r="C116" s="2" t="s">
        <v>284</v>
      </c>
      <c r="D116" s="88" t="s">
        <v>285</v>
      </c>
      <c r="E116" s="88"/>
      <c r="F116" s="2" t="s">
        <v>127</v>
      </c>
      <c r="G116" s="13">
        <v>78</v>
      </c>
      <c r="H116" s="14">
        <v>0</v>
      </c>
    </row>
    <row r="117" spans="1:8" x14ac:dyDescent="0.25">
      <c r="A117" s="32"/>
      <c r="D117" s="35" t="s">
        <v>286</v>
      </c>
      <c r="E117" s="115" t="s">
        <v>20</v>
      </c>
      <c r="F117" s="115"/>
      <c r="G117" s="36">
        <v>78</v>
      </c>
      <c r="H117" s="34"/>
    </row>
    <row r="118" spans="1:8" x14ac:dyDescent="0.25">
      <c r="A118" s="1" t="s">
        <v>176</v>
      </c>
      <c r="B118" s="2" t="s">
        <v>26</v>
      </c>
      <c r="C118" s="2" t="s">
        <v>287</v>
      </c>
      <c r="D118" s="88" t="s">
        <v>288</v>
      </c>
      <c r="E118" s="88"/>
      <c r="F118" s="2" t="s">
        <v>127</v>
      </c>
      <c r="G118" s="13">
        <v>78</v>
      </c>
      <c r="H118" s="14">
        <v>0</v>
      </c>
    </row>
    <row r="119" spans="1:8" x14ac:dyDescent="0.25">
      <c r="A119" s="1" t="s">
        <v>203</v>
      </c>
      <c r="B119" s="2" t="s">
        <v>26</v>
      </c>
      <c r="C119" s="2" t="s">
        <v>289</v>
      </c>
      <c r="D119" s="88" t="s">
        <v>290</v>
      </c>
      <c r="E119" s="88"/>
      <c r="F119" s="2" t="s">
        <v>61</v>
      </c>
      <c r="G119" s="13">
        <v>1</v>
      </c>
      <c r="H119" s="14">
        <v>0</v>
      </c>
    </row>
    <row r="120" spans="1:8" ht="67.5" customHeight="1" x14ac:dyDescent="0.25">
      <c r="A120" s="32"/>
      <c r="C120" s="33" t="s">
        <v>49</v>
      </c>
      <c r="D120" s="113" t="s">
        <v>291</v>
      </c>
      <c r="E120" s="114"/>
      <c r="F120" s="114"/>
      <c r="G120" s="114"/>
      <c r="H120" s="34"/>
    </row>
    <row r="121" spans="1:8" x14ac:dyDescent="0.25">
      <c r="A121" s="1" t="s">
        <v>292</v>
      </c>
      <c r="B121" s="2" t="s">
        <v>26</v>
      </c>
      <c r="C121" s="2" t="s">
        <v>293</v>
      </c>
      <c r="D121" s="88" t="s">
        <v>294</v>
      </c>
      <c r="E121" s="88"/>
      <c r="F121" s="2" t="s">
        <v>231</v>
      </c>
      <c r="G121" s="13">
        <v>639.33000000000004</v>
      </c>
      <c r="H121" s="14">
        <v>0</v>
      </c>
    </row>
    <row r="122" spans="1:8" x14ac:dyDescent="0.25">
      <c r="A122" s="28" t="s">
        <v>20</v>
      </c>
      <c r="B122" s="29" t="s">
        <v>26</v>
      </c>
      <c r="C122" s="29" t="s">
        <v>295</v>
      </c>
      <c r="D122" s="112" t="s">
        <v>296</v>
      </c>
      <c r="E122" s="112"/>
      <c r="F122" s="29" t="s">
        <v>20</v>
      </c>
      <c r="G122" s="30" t="s">
        <v>20</v>
      </c>
      <c r="H122" s="31" t="s">
        <v>20</v>
      </c>
    </row>
    <row r="123" spans="1:8" x14ac:dyDescent="0.25">
      <c r="A123" s="1" t="s">
        <v>297</v>
      </c>
      <c r="B123" s="2" t="s">
        <v>26</v>
      </c>
      <c r="C123" s="2" t="s">
        <v>298</v>
      </c>
      <c r="D123" s="88" t="s">
        <v>299</v>
      </c>
      <c r="E123" s="88"/>
      <c r="F123" s="2" t="s">
        <v>107</v>
      </c>
      <c r="G123" s="13">
        <v>3</v>
      </c>
      <c r="H123" s="14">
        <v>0</v>
      </c>
    </row>
    <row r="124" spans="1:8" x14ac:dyDescent="0.25">
      <c r="A124" s="1" t="s">
        <v>300</v>
      </c>
      <c r="B124" s="2" t="s">
        <v>26</v>
      </c>
      <c r="C124" s="2" t="s">
        <v>301</v>
      </c>
      <c r="D124" s="88" t="s">
        <v>302</v>
      </c>
      <c r="E124" s="88"/>
      <c r="F124" s="2" t="s">
        <v>107</v>
      </c>
      <c r="G124" s="13">
        <v>3</v>
      </c>
      <c r="H124" s="14">
        <v>0</v>
      </c>
    </row>
    <row r="125" spans="1:8" x14ac:dyDescent="0.25">
      <c r="A125" s="1" t="s">
        <v>303</v>
      </c>
      <c r="B125" s="2" t="s">
        <v>26</v>
      </c>
      <c r="C125" s="2" t="s">
        <v>304</v>
      </c>
      <c r="D125" s="88" t="s">
        <v>305</v>
      </c>
      <c r="E125" s="88"/>
      <c r="F125" s="2" t="s">
        <v>107</v>
      </c>
      <c r="G125" s="13">
        <v>2</v>
      </c>
      <c r="H125" s="14">
        <v>0</v>
      </c>
    </row>
    <row r="126" spans="1:8" x14ac:dyDescent="0.25">
      <c r="A126" s="1" t="s">
        <v>306</v>
      </c>
      <c r="B126" s="2" t="s">
        <v>26</v>
      </c>
      <c r="C126" s="2" t="s">
        <v>307</v>
      </c>
      <c r="D126" s="88" t="s">
        <v>308</v>
      </c>
      <c r="E126" s="88"/>
      <c r="F126" s="2" t="s">
        <v>61</v>
      </c>
      <c r="G126" s="13">
        <v>2</v>
      </c>
      <c r="H126" s="14">
        <v>0</v>
      </c>
    </row>
    <row r="127" spans="1:8" x14ac:dyDescent="0.25">
      <c r="A127" s="1" t="s">
        <v>309</v>
      </c>
      <c r="B127" s="2" t="s">
        <v>26</v>
      </c>
      <c r="C127" s="2" t="s">
        <v>310</v>
      </c>
      <c r="D127" s="88" t="s">
        <v>311</v>
      </c>
      <c r="E127" s="88"/>
      <c r="F127" s="2" t="s">
        <v>61</v>
      </c>
      <c r="G127" s="13">
        <v>1</v>
      </c>
      <c r="H127" s="14">
        <v>0</v>
      </c>
    </row>
    <row r="128" spans="1:8" x14ac:dyDescent="0.25">
      <c r="A128" s="1" t="s">
        <v>32</v>
      </c>
      <c r="B128" s="2" t="s">
        <v>26</v>
      </c>
      <c r="C128" s="2" t="s">
        <v>312</v>
      </c>
      <c r="D128" s="88" t="s">
        <v>313</v>
      </c>
      <c r="E128" s="88"/>
      <c r="F128" s="2" t="s">
        <v>61</v>
      </c>
      <c r="G128" s="13">
        <v>1</v>
      </c>
      <c r="H128" s="14">
        <v>0</v>
      </c>
    </row>
    <row r="129" spans="1:8" x14ac:dyDescent="0.25">
      <c r="A129" s="1" t="s">
        <v>34</v>
      </c>
      <c r="B129" s="2" t="s">
        <v>26</v>
      </c>
      <c r="C129" s="2" t="s">
        <v>314</v>
      </c>
      <c r="D129" s="88" t="s">
        <v>315</v>
      </c>
      <c r="E129" s="88"/>
      <c r="F129" s="2" t="s">
        <v>61</v>
      </c>
      <c r="G129" s="13">
        <v>5</v>
      </c>
      <c r="H129" s="14">
        <v>0</v>
      </c>
    </row>
    <row r="130" spans="1:8" x14ac:dyDescent="0.25">
      <c r="A130" s="1" t="s">
        <v>36</v>
      </c>
      <c r="B130" s="2" t="s">
        <v>26</v>
      </c>
      <c r="C130" s="2" t="s">
        <v>316</v>
      </c>
      <c r="D130" s="88" t="s">
        <v>317</v>
      </c>
      <c r="E130" s="88"/>
      <c r="F130" s="2" t="s">
        <v>107</v>
      </c>
      <c r="G130" s="13">
        <v>1</v>
      </c>
      <c r="H130" s="14">
        <v>0</v>
      </c>
    </row>
    <row r="131" spans="1:8" x14ac:dyDescent="0.25">
      <c r="A131" s="1" t="s">
        <v>318</v>
      </c>
      <c r="B131" s="2" t="s">
        <v>26</v>
      </c>
      <c r="C131" s="2" t="s">
        <v>319</v>
      </c>
      <c r="D131" s="88" t="s">
        <v>320</v>
      </c>
      <c r="E131" s="88"/>
      <c r="F131" s="2" t="s">
        <v>107</v>
      </c>
      <c r="G131" s="13">
        <v>2</v>
      </c>
      <c r="H131" s="14">
        <v>0</v>
      </c>
    </row>
    <row r="132" spans="1:8" x14ac:dyDescent="0.25">
      <c r="A132" s="1" t="s">
        <v>321</v>
      </c>
      <c r="B132" s="2" t="s">
        <v>26</v>
      </c>
      <c r="C132" s="2" t="s">
        <v>322</v>
      </c>
      <c r="D132" s="88" t="s">
        <v>323</v>
      </c>
      <c r="E132" s="88"/>
      <c r="F132" s="2" t="s">
        <v>107</v>
      </c>
      <c r="G132" s="13">
        <v>2</v>
      </c>
      <c r="H132" s="14">
        <v>0</v>
      </c>
    </row>
    <row r="133" spans="1:8" x14ac:dyDescent="0.25">
      <c r="A133" s="1" t="s">
        <v>38</v>
      </c>
      <c r="B133" s="2" t="s">
        <v>26</v>
      </c>
      <c r="C133" s="2" t="s">
        <v>324</v>
      </c>
      <c r="D133" s="88" t="s">
        <v>325</v>
      </c>
      <c r="E133" s="88"/>
      <c r="F133" s="2" t="s">
        <v>107</v>
      </c>
      <c r="G133" s="13">
        <v>1</v>
      </c>
      <c r="H133" s="14">
        <v>0</v>
      </c>
    </row>
    <row r="134" spans="1:8" x14ac:dyDescent="0.25">
      <c r="A134" s="1" t="s">
        <v>40</v>
      </c>
      <c r="B134" s="2" t="s">
        <v>26</v>
      </c>
      <c r="C134" s="2" t="s">
        <v>326</v>
      </c>
      <c r="D134" s="88" t="s">
        <v>327</v>
      </c>
      <c r="E134" s="88"/>
      <c r="F134" s="2" t="s">
        <v>107</v>
      </c>
      <c r="G134" s="13">
        <v>2</v>
      </c>
      <c r="H134" s="14">
        <v>0</v>
      </c>
    </row>
    <row r="135" spans="1:8" ht="13.5" customHeight="1" x14ac:dyDescent="0.25">
      <c r="A135" s="32"/>
      <c r="C135" s="33" t="s">
        <v>49</v>
      </c>
      <c r="D135" s="113" t="s">
        <v>175</v>
      </c>
      <c r="E135" s="114"/>
      <c r="F135" s="114"/>
      <c r="G135" s="114"/>
      <c r="H135" s="34"/>
    </row>
    <row r="136" spans="1:8" x14ac:dyDescent="0.25">
      <c r="A136" s="1" t="s">
        <v>42</v>
      </c>
      <c r="B136" s="2" t="s">
        <v>26</v>
      </c>
      <c r="C136" s="2" t="s">
        <v>328</v>
      </c>
      <c r="D136" s="88" t="s">
        <v>329</v>
      </c>
      <c r="E136" s="88"/>
      <c r="F136" s="2" t="s">
        <v>107</v>
      </c>
      <c r="G136" s="13">
        <v>1</v>
      </c>
      <c r="H136" s="14">
        <v>0</v>
      </c>
    </row>
    <row r="137" spans="1:8" ht="13.5" customHeight="1" x14ac:dyDescent="0.25">
      <c r="A137" s="32"/>
      <c r="C137" s="33" t="s">
        <v>49</v>
      </c>
      <c r="D137" s="113" t="s">
        <v>175</v>
      </c>
      <c r="E137" s="114"/>
      <c r="F137" s="114"/>
      <c r="G137" s="114"/>
      <c r="H137" s="34"/>
    </row>
    <row r="138" spans="1:8" x14ac:dyDescent="0.25">
      <c r="A138" s="1" t="s">
        <v>330</v>
      </c>
      <c r="B138" s="2" t="s">
        <v>26</v>
      </c>
      <c r="C138" s="2" t="s">
        <v>331</v>
      </c>
      <c r="D138" s="88" t="s">
        <v>332</v>
      </c>
      <c r="E138" s="88"/>
      <c r="F138" s="2" t="s">
        <v>61</v>
      </c>
      <c r="G138" s="13">
        <v>1</v>
      </c>
      <c r="H138" s="14">
        <v>0</v>
      </c>
    </row>
    <row r="139" spans="1:8" ht="13.5" customHeight="1" x14ac:dyDescent="0.25">
      <c r="A139" s="32"/>
      <c r="C139" s="33" t="s">
        <v>49</v>
      </c>
      <c r="D139" s="113" t="s">
        <v>175</v>
      </c>
      <c r="E139" s="114"/>
      <c r="F139" s="114"/>
      <c r="G139" s="114"/>
      <c r="H139" s="34"/>
    </row>
    <row r="140" spans="1:8" x14ac:dyDescent="0.25">
      <c r="A140" s="1" t="s">
        <v>333</v>
      </c>
      <c r="B140" s="2" t="s">
        <v>26</v>
      </c>
      <c r="C140" s="2" t="s">
        <v>334</v>
      </c>
      <c r="D140" s="88" t="s">
        <v>335</v>
      </c>
      <c r="E140" s="88"/>
      <c r="F140" s="2" t="s">
        <v>107</v>
      </c>
      <c r="G140" s="13">
        <v>1</v>
      </c>
      <c r="H140" s="14">
        <v>0</v>
      </c>
    </row>
    <row r="141" spans="1:8" ht="13.5" customHeight="1" x14ac:dyDescent="0.25">
      <c r="A141" s="32"/>
      <c r="C141" s="33" t="s">
        <v>49</v>
      </c>
      <c r="D141" s="113" t="s">
        <v>175</v>
      </c>
      <c r="E141" s="114"/>
      <c r="F141" s="114"/>
      <c r="G141" s="114"/>
      <c r="H141" s="34"/>
    </row>
    <row r="142" spans="1:8" x14ac:dyDescent="0.25">
      <c r="A142" s="1" t="s">
        <v>336</v>
      </c>
      <c r="B142" s="2" t="s">
        <v>26</v>
      </c>
      <c r="C142" s="2" t="s">
        <v>337</v>
      </c>
      <c r="D142" s="88" t="s">
        <v>338</v>
      </c>
      <c r="E142" s="88"/>
      <c r="F142" s="2" t="s">
        <v>107</v>
      </c>
      <c r="G142" s="13">
        <v>1</v>
      </c>
      <c r="H142" s="14">
        <v>0</v>
      </c>
    </row>
    <row r="143" spans="1:8" ht="13.5" customHeight="1" x14ac:dyDescent="0.25">
      <c r="A143" s="32"/>
      <c r="C143" s="33" t="s">
        <v>49</v>
      </c>
      <c r="D143" s="113" t="s">
        <v>175</v>
      </c>
      <c r="E143" s="114"/>
      <c r="F143" s="114"/>
      <c r="G143" s="114"/>
      <c r="H143" s="34"/>
    </row>
    <row r="144" spans="1:8" x14ac:dyDescent="0.25">
      <c r="A144" s="1" t="s">
        <v>339</v>
      </c>
      <c r="B144" s="2" t="s">
        <v>26</v>
      </c>
      <c r="C144" s="2" t="s">
        <v>340</v>
      </c>
      <c r="D144" s="88" t="s">
        <v>341</v>
      </c>
      <c r="E144" s="88"/>
      <c r="F144" s="2" t="s">
        <v>231</v>
      </c>
      <c r="G144" s="13">
        <v>900.09</v>
      </c>
      <c r="H144" s="14">
        <v>0</v>
      </c>
    </row>
    <row r="145" spans="1:8" x14ac:dyDescent="0.25">
      <c r="A145" s="28" t="s">
        <v>20</v>
      </c>
      <c r="B145" s="29" t="s">
        <v>26</v>
      </c>
      <c r="C145" s="29" t="s">
        <v>342</v>
      </c>
      <c r="D145" s="112" t="s">
        <v>343</v>
      </c>
      <c r="E145" s="112"/>
      <c r="F145" s="29" t="s">
        <v>20</v>
      </c>
      <c r="G145" s="30" t="s">
        <v>20</v>
      </c>
      <c r="H145" s="31" t="s">
        <v>20</v>
      </c>
    </row>
    <row r="146" spans="1:8" x14ac:dyDescent="0.25">
      <c r="A146" s="1" t="s">
        <v>344</v>
      </c>
      <c r="B146" s="2" t="s">
        <v>26</v>
      </c>
      <c r="C146" s="2" t="s">
        <v>345</v>
      </c>
      <c r="D146" s="88" t="s">
        <v>346</v>
      </c>
      <c r="E146" s="88"/>
      <c r="F146" s="2" t="s">
        <v>61</v>
      </c>
      <c r="G146" s="13">
        <v>5</v>
      </c>
      <c r="H146" s="14">
        <v>0</v>
      </c>
    </row>
    <row r="147" spans="1:8" x14ac:dyDescent="0.25">
      <c r="A147" s="1" t="s">
        <v>347</v>
      </c>
      <c r="B147" s="2" t="s">
        <v>26</v>
      </c>
      <c r="C147" s="2" t="s">
        <v>348</v>
      </c>
      <c r="D147" s="88" t="s">
        <v>349</v>
      </c>
      <c r="E147" s="88"/>
      <c r="F147" s="2" t="s">
        <v>231</v>
      </c>
      <c r="G147" s="13">
        <v>368.75</v>
      </c>
      <c r="H147" s="14">
        <v>0</v>
      </c>
    </row>
    <row r="148" spans="1:8" x14ac:dyDescent="0.25">
      <c r="A148" s="28" t="s">
        <v>20</v>
      </c>
      <c r="B148" s="29" t="s">
        <v>26</v>
      </c>
      <c r="C148" s="29" t="s">
        <v>350</v>
      </c>
      <c r="D148" s="112" t="s">
        <v>351</v>
      </c>
      <c r="E148" s="112"/>
      <c r="F148" s="29" t="s">
        <v>20</v>
      </c>
      <c r="G148" s="30" t="s">
        <v>20</v>
      </c>
      <c r="H148" s="31" t="s">
        <v>20</v>
      </c>
    </row>
    <row r="149" spans="1:8" x14ac:dyDescent="0.25">
      <c r="A149" s="1" t="s">
        <v>352</v>
      </c>
      <c r="B149" s="2" t="s">
        <v>26</v>
      </c>
      <c r="C149" s="2" t="s">
        <v>353</v>
      </c>
      <c r="D149" s="88" t="s">
        <v>354</v>
      </c>
      <c r="E149" s="88"/>
      <c r="F149" s="2" t="s">
        <v>61</v>
      </c>
      <c r="G149" s="13">
        <v>1</v>
      </c>
      <c r="H149" s="14">
        <v>0</v>
      </c>
    </row>
    <row r="150" spans="1:8" x14ac:dyDescent="0.25">
      <c r="A150" s="28" t="s">
        <v>20</v>
      </c>
      <c r="B150" s="29" t="s">
        <v>26</v>
      </c>
      <c r="C150" s="29" t="s">
        <v>355</v>
      </c>
      <c r="D150" s="112" t="s">
        <v>356</v>
      </c>
      <c r="E150" s="112"/>
      <c r="F150" s="29" t="s">
        <v>20</v>
      </c>
      <c r="G150" s="30" t="s">
        <v>20</v>
      </c>
      <c r="H150" s="31" t="s">
        <v>20</v>
      </c>
    </row>
    <row r="151" spans="1:8" x14ac:dyDescent="0.25">
      <c r="A151" s="1" t="s">
        <v>357</v>
      </c>
      <c r="B151" s="2" t="s">
        <v>26</v>
      </c>
      <c r="C151" s="2" t="s">
        <v>358</v>
      </c>
      <c r="D151" s="88" t="s">
        <v>359</v>
      </c>
      <c r="E151" s="88"/>
      <c r="F151" s="2" t="s">
        <v>61</v>
      </c>
      <c r="G151" s="13">
        <v>1</v>
      </c>
      <c r="H151" s="14">
        <v>0</v>
      </c>
    </row>
    <row r="152" spans="1:8" x14ac:dyDescent="0.25">
      <c r="A152" s="1" t="s">
        <v>360</v>
      </c>
      <c r="B152" s="2" t="s">
        <v>26</v>
      </c>
      <c r="C152" s="2" t="s">
        <v>361</v>
      </c>
      <c r="D152" s="88" t="s">
        <v>362</v>
      </c>
      <c r="E152" s="88"/>
      <c r="F152" s="2" t="s">
        <v>231</v>
      </c>
      <c r="G152" s="13">
        <v>73</v>
      </c>
      <c r="H152" s="14">
        <v>0</v>
      </c>
    </row>
    <row r="153" spans="1:8" x14ac:dyDescent="0.25">
      <c r="A153" s="28" t="s">
        <v>20</v>
      </c>
      <c r="B153" s="29" t="s">
        <v>26</v>
      </c>
      <c r="C153" s="29" t="s">
        <v>363</v>
      </c>
      <c r="D153" s="112" t="s">
        <v>364</v>
      </c>
      <c r="E153" s="112"/>
      <c r="F153" s="29" t="s">
        <v>20</v>
      </c>
      <c r="G153" s="30" t="s">
        <v>20</v>
      </c>
      <c r="H153" s="31" t="s">
        <v>20</v>
      </c>
    </row>
    <row r="154" spans="1:8" x14ac:dyDescent="0.25">
      <c r="A154" s="1" t="s">
        <v>365</v>
      </c>
      <c r="B154" s="2" t="s">
        <v>26</v>
      </c>
      <c r="C154" s="2" t="s">
        <v>366</v>
      </c>
      <c r="D154" s="88" t="s">
        <v>367</v>
      </c>
      <c r="E154" s="88"/>
      <c r="F154" s="2" t="s">
        <v>127</v>
      </c>
      <c r="G154" s="13">
        <v>11</v>
      </c>
      <c r="H154" s="14">
        <v>0</v>
      </c>
    </row>
    <row r="155" spans="1:8" x14ac:dyDescent="0.25">
      <c r="A155" s="1" t="s">
        <v>368</v>
      </c>
      <c r="B155" s="2" t="s">
        <v>26</v>
      </c>
      <c r="C155" s="2" t="s">
        <v>369</v>
      </c>
      <c r="D155" s="88" t="s">
        <v>370</v>
      </c>
      <c r="E155" s="88"/>
      <c r="F155" s="2" t="s">
        <v>127</v>
      </c>
      <c r="G155" s="13">
        <v>11</v>
      </c>
      <c r="H155" s="14">
        <v>0</v>
      </c>
    </row>
    <row r="156" spans="1:8" x14ac:dyDescent="0.25">
      <c r="A156" s="1" t="s">
        <v>371</v>
      </c>
      <c r="B156" s="2" t="s">
        <v>26</v>
      </c>
      <c r="C156" s="2" t="s">
        <v>372</v>
      </c>
      <c r="D156" s="88" t="s">
        <v>373</v>
      </c>
      <c r="E156" s="88"/>
      <c r="F156" s="2" t="s">
        <v>127</v>
      </c>
      <c r="G156" s="13">
        <v>6</v>
      </c>
      <c r="H156" s="14">
        <v>0</v>
      </c>
    </row>
    <row r="157" spans="1:8" x14ac:dyDescent="0.25">
      <c r="A157" s="1" t="s">
        <v>374</v>
      </c>
      <c r="B157" s="2" t="s">
        <v>26</v>
      </c>
      <c r="C157" s="2" t="s">
        <v>375</v>
      </c>
      <c r="D157" s="88" t="s">
        <v>376</v>
      </c>
      <c r="E157" s="88"/>
      <c r="F157" s="2" t="s">
        <v>107</v>
      </c>
      <c r="G157" s="13">
        <v>3</v>
      </c>
      <c r="H157" s="14">
        <v>0</v>
      </c>
    </row>
    <row r="158" spans="1:8" x14ac:dyDescent="0.25">
      <c r="A158" s="1" t="s">
        <v>377</v>
      </c>
      <c r="B158" s="2" t="s">
        <v>26</v>
      </c>
      <c r="C158" s="2" t="s">
        <v>378</v>
      </c>
      <c r="D158" s="88" t="s">
        <v>379</v>
      </c>
      <c r="E158" s="88"/>
      <c r="F158" s="2" t="s">
        <v>107</v>
      </c>
      <c r="G158" s="13">
        <v>3</v>
      </c>
      <c r="H158" s="14">
        <v>0</v>
      </c>
    </row>
    <row r="159" spans="1:8" x14ac:dyDescent="0.25">
      <c r="A159" s="1" t="s">
        <v>380</v>
      </c>
      <c r="B159" s="2" t="s">
        <v>26</v>
      </c>
      <c r="C159" s="2" t="s">
        <v>381</v>
      </c>
      <c r="D159" s="88" t="s">
        <v>382</v>
      </c>
      <c r="E159" s="88"/>
      <c r="F159" s="2" t="s">
        <v>127</v>
      </c>
      <c r="G159" s="13">
        <v>11</v>
      </c>
      <c r="H159" s="14">
        <v>0</v>
      </c>
    </row>
    <row r="160" spans="1:8" x14ac:dyDescent="0.25">
      <c r="A160" s="1" t="s">
        <v>383</v>
      </c>
      <c r="B160" s="2" t="s">
        <v>26</v>
      </c>
      <c r="C160" s="2" t="s">
        <v>384</v>
      </c>
      <c r="D160" s="88" t="s">
        <v>382</v>
      </c>
      <c r="E160" s="88"/>
      <c r="F160" s="2" t="s">
        <v>127</v>
      </c>
      <c r="G160" s="13">
        <v>11</v>
      </c>
      <c r="H160" s="14">
        <v>0</v>
      </c>
    </row>
    <row r="161" spans="1:8" x14ac:dyDescent="0.25">
      <c r="A161" s="1" t="s">
        <v>385</v>
      </c>
      <c r="B161" s="2" t="s">
        <v>26</v>
      </c>
      <c r="C161" s="2" t="s">
        <v>386</v>
      </c>
      <c r="D161" s="88" t="s">
        <v>382</v>
      </c>
      <c r="E161" s="88"/>
      <c r="F161" s="2" t="s">
        <v>127</v>
      </c>
      <c r="G161" s="13">
        <v>4</v>
      </c>
      <c r="H161" s="14">
        <v>0</v>
      </c>
    </row>
    <row r="162" spans="1:8" x14ac:dyDescent="0.25">
      <c r="A162" s="1" t="s">
        <v>387</v>
      </c>
      <c r="B162" s="2" t="s">
        <v>26</v>
      </c>
      <c r="C162" s="2" t="s">
        <v>388</v>
      </c>
      <c r="D162" s="88" t="s">
        <v>389</v>
      </c>
      <c r="E162" s="88"/>
      <c r="F162" s="2" t="s">
        <v>127</v>
      </c>
      <c r="G162" s="13">
        <v>28</v>
      </c>
      <c r="H162" s="14">
        <v>0</v>
      </c>
    </row>
    <row r="163" spans="1:8" x14ac:dyDescent="0.25">
      <c r="A163" s="1" t="s">
        <v>390</v>
      </c>
      <c r="B163" s="2" t="s">
        <v>26</v>
      </c>
      <c r="C163" s="2" t="s">
        <v>391</v>
      </c>
      <c r="D163" s="88" t="s">
        <v>392</v>
      </c>
      <c r="E163" s="88"/>
      <c r="F163" s="2" t="s">
        <v>231</v>
      </c>
      <c r="G163" s="13">
        <v>183.4</v>
      </c>
      <c r="H163" s="14">
        <v>0</v>
      </c>
    </row>
    <row r="164" spans="1:8" x14ac:dyDescent="0.25">
      <c r="A164" s="28" t="s">
        <v>20</v>
      </c>
      <c r="B164" s="29" t="s">
        <v>26</v>
      </c>
      <c r="C164" s="29" t="s">
        <v>393</v>
      </c>
      <c r="D164" s="112" t="s">
        <v>394</v>
      </c>
      <c r="E164" s="112"/>
      <c r="F164" s="29" t="s">
        <v>20</v>
      </c>
      <c r="G164" s="30" t="s">
        <v>20</v>
      </c>
      <c r="H164" s="31" t="s">
        <v>20</v>
      </c>
    </row>
    <row r="165" spans="1:8" x14ac:dyDescent="0.25">
      <c r="A165" s="1" t="s">
        <v>395</v>
      </c>
      <c r="B165" s="2" t="s">
        <v>26</v>
      </c>
      <c r="C165" s="2" t="s">
        <v>396</v>
      </c>
      <c r="D165" s="88" t="s">
        <v>397</v>
      </c>
      <c r="E165" s="88"/>
      <c r="F165" s="2" t="s">
        <v>107</v>
      </c>
      <c r="G165" s="13">
        <v>3</v>
      </c>
      <c r="H165" s="14">
        <v>0</v>
      </c>
    </row>
    <row r="166" spans="1:8" x14ac:dyDescent="0.25">
      <c r="A166" s="1" t="s">
        <v>398</v>
      </c>
      <c r="B166" s="2" t="s">
        <v>26</v>
      </c>
      <c r="C166" s="2" t="s">
        <v>399</v>
      </c>
      <c r="D166" s="88" t="s">
        <v>400</v>
      </c>
      <c r="E166" s="88"/>
      <c r="F166" s="2" t="s">
        <v>107</v>
      </c>
      <c r="G166" s="13">
        <v>3</v>
      </c>
      <c r="H166" s="14">
        <v>0</v>
      </c>
    </row>
    <row r="167" spans="1:8" x14ac:dyDescent="0.25">
      <c r="A167" s="1" t="s">
        <v>401</v>
      </c>
      <c r="B167" s="2" t="s">
        <v>26</v>
      </c>
      <c r="C167" s="2" t="s">
        <v>402</v>
      </c>
      <c r="D167" s="88" t="s">
        <v>403</v>
      </c>
      <c r="E167" s="88"/>
      <c r="F167" s="2" t="s">
        <v>107</v>
      </c>
      <c r="G167" s="13">
        <v>1</v>
      </c>
      <c r="H167" s="14">
        <v>0</v>
      </c>
    </row>
    <row r="168" spans="1:8" x14ac:dyDescent="0.25">
      <c r="A168" s="1" t="s">
        <v>404</v>
      </c>
      <c r="B168" s="2" t="s">
        <v>26</v>
      </c>
      <c r="C168" s="2" t="s">
        <v>405</v>
      </c>
      <c r="D168" s="88" t="s">
        <v>406</v>
      </c>
      <c r="E168" s="88"/>
      <c r="F168" s="2" t="s">
        <v>107</v>
      </c>
      <c r="G168" s="13">
        <v>3</v>
      </c>
      <c r="H168" s="14">
        <v>0</v>
      </c>
    </row>
    <row r="169" spans="1:8" ht="13.5" customHeight="1" x14ac:dyDescent="0.25">
      <c r="A169" s="32"/>
      <c r="C169" s="33" t="s">
        <v>49</v>
      </c>
      <c r="D169" s="113" t="s">
        <v>175</v>
      </c>
      <c r="E169" s="114"/>
      <c r="F169" s="114"/>
      <c r="G169" s="114"/>
      <c r="H169" s="34"/>
    </row>
    <row r="170" spans="1:8" x14ac:dyDescent="0.25">
      <c r="A170" s="1" t="s">
        <v>407</v>
      </c>
      <c r="B170" s="2" t="s">
        <v>26</v>
      </c>
      <c r="C170" s="2" t="s">
        <v>408</v>
      </c>
      <c r="D170" s="88" t="s">
        <v>409</v>
      </c>
      <c r="E170" s="88"/>
      <c r="F170" s="2" t="s">
        <v>107</v>
      </c>
      <c r="G170" s="13">
        <v>1</v>
      </c>
      <c r="H170" s="14">
        <v>0</v>
      </c>
    </row>
    <row r="171" spans="1:8" x14ac:dyDescent="0.25">
      <c r="A171" s="1" t="s">
        <v>410</v>
      </c>
      <c r="B171" s="2" t="s">
        <v>26</v>
      </c>
      <c r="C171" s="2" t="s">
        <v>411</v>
      </c>
      <c r="D171" s="88" t="s">
        <v>412</v>
      </c>
      <c r="E171" s="88"/>
      <c r="F171" s="2" t="s">
        <v>61</v>
      </c>
      <c r="G171" s="13">
        <v>5</v>
      </c>
      <c r="H171" s="14">
        <v>0</v>
      </c>
    </row>
    <row r="172" spans="1:8" x14ac:dyDescent="0.25">
      <c r="A172" s="1" t="s">
        <v>413</v>
      </c>
      <c r="B172" s="2" t="s">
        <v>26</v>
      </c>
      <c r="C172" s="2" t="s">
        <v>414</v>
      </c>
      <c r="D172" s="88" t="s">
        <v>415</v>
      </c>
      <c r="E172" s="88"/>
      <c r="F172" s="2" t="s">
        <v>61</v>
      </c>
      <c r="G172" s="13">
        <v>6</v>
      </c>
      <c r="H172" s="14">
        <v>0</v>
      </c>
    </row>
    <row r="173" spans="1:8" x14ac:dyDescent="0.25">
      <c r="A173" s="1" t="s">
        <v>416</v>
      </c>
      <c r="B173" s="2" t="s">
        <v>26</v>
      </c>
      <c r="C173" s="2" t="s">
        <v>417</v>
      </c>
      <c r="D173" s="88" t="s">
        <v>418</v>
      </c>
      <c r="E173" s="88"/>
      <c r="F173" s="2" t="s">
        <v>107</v>
      </c>
      <c r="G173" s="13">
        <v>2</v>
      </c>
      <c r="H173" s="14">
        <v>0</v>
      </c>
    </row>
    <row r="174" spans="1:8" x14ac:dyDescent="0.25">
      <c r="A174" s="1" t="s">
        <v>419</v>
      </c>
      <c r="B174" s="2" t="s">
        <v>26</v>
      </c>
      <c r="C174" s="2" t="s">
        <v>420</v>
      </c>
      <c r="D174" s="88" t="s">
        <v>421</v>
      </c>
      <c r="E174" s="88"/>
      <c r="F174" s="2" t="s">
        <v>231</v>
      </c>
      <c r="G174" s="13">
        <v>253.85</v>
      </c>
      <c r="H174" s="14">
        <v>0</v>
      </c>
    </row>
    <row r="175" spans="1:8" x14ac:dyDescent="0.25">
      <c r="A175" s="28" t="s">
        <v>20</v>
      </c>
      <c r="B175" s="29" t="s">
        <v>26</v>
      </c>
      <c r="C175" s="29" t="s">
        <v>422</v>
      </c>
      <c r="D175" s="112" t="s">
        <v>423</v>
      </c>
      <c r="E175" s="112"/>
      <c r="F175" s="29" t="s">
        <v>20</v>
      </c>
      <c r="G175" s="30" t="s">
        <v>20</v>
      </c>
      <c r="H175" s="31" t="s">
        <v>20</v>
      </c>
    </row>
    <row r="176" spans="1:8" x14ac:dyDescent="0.25">
      <c r="A176" s="1" t="s">
        <v>424</v>
      </c>
      <c r="B176" s="2" t="s">
        <v>26</v>
      </c>
      <c r="C176" s="2" t="s">
        <v>425</v>
      </c>
      <c r="D176" s="88" t="s">
        <v>426</v>
      </c>
      <c r="E176" s="88"/>
      <c r="F176" s="2" t="s">
        <v>91</v>
      </c>
      <c r="G176" s="13">
        <v>1.83</v>
      </c>
      <c r="H176" s="14">
        <v>0</v>
      </c>
    </row>
    <row r="177" spans="1:8" x14ac:dyDescent="0.25">
      <c r="A177" s="1" t="s">
        <v>427</v>
      </c>
      <c r="B177" s="2" t="s">
        <v>26</v>
      </c>
      <c r="C177" s="2" t="s">
        <v>428</v>
      </c>
      <c r="D177" s="88" t="s">
        <v>429</v>
      </c>
      <c r="E177" s="88"/>
      <c r="F177" s="2" t="s">
        <v>107</v>
      </c>
      <c r="G177" s="13">
        <v>2</v>
      </c>
      <c r="H177" s="14">
        <v>0</v>
      </c>
    </row>
    <row r="178" spans="1:8" x14ac:dyDescent="0.25">
      <c r="A178" s="1" t="s">
        <v>430</v>
      </c>
      <c r="B178" s="2" t="s">
        <v>26</v>
      </c>
      <c r="C178" s="2" t="s">
        <v>431</v>
      </c>
      <c r="D178" s="88" t="s">
        <v>432</v>
      </c>
      <c r="E178" s="88"/>
      <c r="F178" s="2" t="s">
        <v>107</v>
      </c>
      <c r="G178" s="13">
        <v>1</v>
      </c>
      <c r="H178" s="14">
        <v>0</v>
      </c>
    </row>
    <row r="179" spans="1:8" x14ac:dyDescent="0.25">
      <c r="A179" s="1" t="s">
        <v>433</v>
      </c>
      <c r="B179" s="2" t="s">
        <v>26</v>
      </c>
      <c r="C179" s="2" t="s">
        <v>434</v>
      </c>
      <c r="D179" s="88" t="s">
        <v>435</v>
      </c>
      <c r="E179" s="88"/>
      <c r="F179" s="2" t="s">
        <v>107</v>
      </c>
      <c r="G179" s="13">
        <v>2</v>
      </c>
      <c r="H179" s="14">
        <v>0</v>
      </c>
    </row>
    <row r="180" spans="1:8" x14ac:dyDescent="0.25">
      <c r="A180" s="1" t="s">
        <v>436</v>
      </c>
      <c r="B180" s="2" t="s">
        <v>26</v>
      </c>
      <c r="C180" s="2" t="s">
        <v>281</v>
      </c>
      <c r="D180" s="88" t="s">
        <v>437</v>
      </c>
      <c r="E180" s="88"/>
      <c r="F180" s="2" t="s">
        <v>283</v>
      </c>
      <c r="G180" s="13">
        <v>6</v>
      </c>
      <c r="H180" s="14">
        <v>0</v>
      </c>
    </row>
    <row r="181" spans="1:8" x14ac:dyDescent="0.25">
      <c r="A181" s="1" t="s">
        <v>438</v>
      </c>
      <c r="B181" s="2" t="s">
        <v>26</v>
      </c>
      <c r="C181" s="2" t="s">
        <v>281</v>
      </c>
      <c r="D181" s="88" t="s">
        <v>439</v>
      </c>
      <c r="E181" s="88"/>
      <c r="F181" s="2" t="s">
        <v>283</v>
      </c>
      <c r="G181" s="13">
        <v>24</v>
      </c>
      <c r="H181" s="14">
        <v>0</v>
      </c>
    </row>
    <row r="182" spans="1:8" x14ac:dyDescent="0.25">
      <c r="A182" s="1" t="s">
        <v>440</v>
      </c>
      <c r="B182" s="2" t="s">
        <v>26</v>
      </c>
      <c r="C182" s="2" t="s">
        <v>441</v>
      </c>
      <c r="D182" s="88" t="s">
        <v>442</v>
      </c>
      <c r="E182" s="88"/>
      <c r="F182" s="2" t="s">
        <v>231</v>
      </c>
      <c r="G182" s="13">
        <v>322.92</v>
      </c>
      <c r="H182" s="14">
        <v>0</v>
      </c>
    </row>
    <row r="183" spans="1:8" x14ac:dyDescent="0.25">
      <c r="A183" s="28" t="s">
        <v>20</v>
      </c>
      <c r="B183" s="29" t="s">
        <v>26</v>
      </c>
      <c r="C183" s="29" t="s">
        <v>443</v>
      </c>
      <c r="D183" s="112" t="s">
        <v>444</v>
      </c>
      <c r="E183" s="112"/>
      <c r="F183" s="29" t="s">
        <v>20</v>
      </c>
      <c r="G183" s="30" t="s">
        <v>20</v>
      </c>
      <c r="H183" s="31" t="s">
        <v>20</v>
      </c>
    </row>
    <row r="184" spans="1:8" x14ac:dyDescent="0.25">
      <c r="A184" s="1" t="s">
        <v>445</v>
      </c>
      <c r="B184" s="2" t="s">
        <v>26</v>
      </c>
      <c r="C184" s="2" t="s">
        <v>446</v>
      </c>
      <c r="D184" s="88" t="s">
        <v>447</v>
      </c>
      <c r="E184" s="88"/>
      <c r="F184" s="2" t="s">
        <v>127</v>
      </c>
      <c r="G184" s="13">
        <v>3.94</v>
      </c>
      <c r="H184" s="14">
        <v>0</v>
      </c>
    </row>
    <row r="185" spans="1:8" x14ac:dyDescent="0.25">
      <c r="A185" s="32"/>
      <c r="D185" s="35" t="s">
        <v>448</v>
      </c>
      <c r="E185" s="115" t="s">
        <v>20</v>
      </c>
      <c r="F185" s="115"/>
      <c r="G185" s="36">
        <v>3.94</v>
      </c>
      <c r="H185" s="34"/>
    </row>
    <row r="186" spans="1:8" x14ac:dyDescent="0.25">
      <c r="A186" s="1" t="s">
        <v>449</v>
      </c>
      <c r="B186" s="2" t="s">
        <v>26</v>
      </c>
      <c r="C186" s="2" t="s">
        <v>450</v>
      </c>
      <c r="D186" s="88" t="s">
        <v>451</v>
      </c>
      <c r="E186" s="88"/>
      <c r="F186" s="2" t="s">
        <v>127</v>
      </c>
      <c r="G186" s="13">
        <v>3.94</v>
      </c>
      <c r="H186" s="14">
        <v>0</v>
      </c>
    </row>
    <row r="187" spans="1:8" x14ac:dyDescent="0.25">
      <c r="A187" s="1" t="s">
        <v>452</v>
      </c>
      <c r="B187" s="2" t="s">
        <v>26</v>
      </c>
      <c r="C187" s="2" t="s">
        <v>453</v>
      </c>
      <c r="D187" s="88" t="s">
        <v>454</v>
      </c>
      <c r="E187" s="88"/>
      <c r="F187" s="2" t="s">
        <v>231</v>
      </c>
      <c r="G187" s="13">
        <v>27.21</v>
      </c>
      <c r="H187" s="14">
        <v>0</v>
      </c>
    </row>
    <row r="188" spans="1:8" x14ac:dyDescent="0.25">
      <c r="A188" s="28" t="s">
        <v>20</v>
      </c>
      <c r="B188" s="29" t="s">
        <v>26</v>
      </c>
      <c r="C188" s="29" t="s">
        <v>455</v>
      </c>
      <c r="D188" s="112" t="s">
        <v>456</v>
      </c>
      <c r="E188" s="112"/>
      <c r="F188" s="29" t="s">
        <v>20</v>
      </c>
      <c r="G188" s="30" t="s">
        <v>20</v>
      </c>
      <c r="H188" s="31" t="s">
        <v>20</v>
      </c>
    </row>
    <row r="189" spans="1:8" x14ac:dyDescent="0.25">
      <c r="A189" s="1" t="s">
        <v>457</v>
      </c>
      <c r="B189" s="2" t="s">
        <v>26</v>
      </c>
      <c r="C189" s="2" t="s">
        <v>458</v>
      </c>
      <c r="D189" s="88" t="s">
        <v>459</v>
      </c>
      <c r="E189" s="88"/>
      <c r="F189" s="2" t="s">
        <v>107</v>
      </c>
      <c r="G189" s="13">
        <v>4</v>
      </c>
      <c r="H189" s="14">
        <v>0</v>
      </c>
    </row>
    <row r="190" spans="1:8" x14ac:dyDescent="0.25">
      <c r="A190" s="1" t="s">
        <v>460</v>
      </c>
      <c r="B190" s="2" t="s">
        <v>26</v>
      </c>
      <c r="C190" s="2" t="s">
        <v>461</v>
      </c>
      <c r="D190" s="88" t="s">
        <v>462</v>
      </c>
      <c r="E190" s="88"/>
      <c r="F190" s="2" t="s">
        <v>107</v>
      </c>
      <c r="G190" s="13">
        <v>2</v>
      </c>
      <c r="H190" s="14">
        <v>0</v>
      </c>
    </row>
    <row r="191" spans="1:8" x14ac:dyDescent="0.25">
      <c r="A191" s="1" t="s">
        <v>463</v>
      </c>
      <c r="B191" s="2" t="s">
        <v>26</v>
      </c>
      <c r="C191" s="2" t="s">
        <v>464</v>
      </c>
      <c r="D191" s="88" t="s">
        <v>465</v>
      </c>
      <c r="E191" s="88"/>
      <c r="F191" s="2" t="s">
        <v>107</v>
      </c>
      <c r="G191" s="13">
        <v>2</v>
      </c>
      <c r="H191" s="14">
        <v>0</v>
      </c>
    </row>
    <row r="192" spans="1:8" x14ac:dyDescent="0.25">
      <c r="A192" s="1" t="s">
        <v>466</v>
      </c>
      <c r="B192" s="2" t="s">
        <v>26</v>
      </c>
      <c r="C192" s="2" t="s">
        <v>467</v>
      </c>
      <c r="D192" s="88" t="s">
        <v>468</v>
      </c>
      <c r="E192" s="88"/>
      <c r="F192" s="2" t="s">
        <v>61</v>
      </c>
      <c r="G192" s="13">
        <v>1</v>
      </c>
      <c r="H192" s="14">
        <v>0</v>
      </c>
    </row>
    <row r="193" spans="1:8" ht="13.5" customHeight="1" x14ac:dyDescent="0.25">
      <c r="A193" s="32"/>
      <c r="C193" s="33" t="s">
        <v>49</v>
      </c>
      <c r="D193" s="113" t="s">
        <v>175</v>
      </c>
      <c r="E193" s="114"/>
      <c r="F193" s="114"/>
      <c r="G193" s="114"/>
      <c r="H193" s="34"/>
    </row>
    <row r="194" spans="1:8" x14ac:dyDescent="0.25">
      <c r="A194" s="1" t="s">
        <v>469</v>
      </c>
      <c r="B194" s="2" t="s">
        <v>26</v>
      </c>
      <c r="C194" s="2" t="s">
        <v>470</v>
      </c>
      <c r="D194" s="88" t="s">
        <v>471</v>
      </c>
      <c r="E194" s="88"/>
      <c r="F194" s="2" t="s">
        <v>61</v>
      </c>
      <c r="G194" s="13">
        <v>2</v>
      </c>
      <c r="H194" s="14">
        <v>0</v>
      </c>
    </row>
    <row r="195" spans="1:8" ht="13.5" customHeight="1" x14ac:dyDescent="0.25">
      <c r="A195" s="32"/>
      <c r="C195" s="33" t="s">
        <v>49</v>
      </c>
      <c r="D195" s="113" t="s">
        <v>175</v>
      </c>
      <c r="E195" s="114"/>
      <c r="F195" s="114"/>
      <c r="G195" s="114"/>
      <c r="H195" s="34"/>
    </row>
    <row r="196" spans="1:8" x14ac:dyDescent="0.25">
      <c r="A196" s="1" t="s">
        <v>472</v>
      </c>
      <c r="B196" s="2" t="s">
        <v>26</v>
      </c>
      <c r="C196" s="2" t="s">
        <v>473</v>
      </c>
      <c r="D196" s="88" t="s">
        <v>474</v>
      </c>
      <c r="E196" s="88"/>
      <c r="F196" s="2" t="s">
        <v>61</v>
      </c>
      <c r="G196" s="13">
        <v>1</v>
      </c>
      <c r="H196" s="14">
        <v>0</v>
      </c>
    </row>
    <row r="197" spans="1:8" ht="13.5" customHeight="1" x14ac:dyDescent="0.25">
      <c r="A197" s="32"/>
      <c r="C197" s="33" t="s">
        <v>49</v>
      </c>
      <c r="D197" s="113" t="s">
        <v>175</v>
      </c>
      <c r="E197" s="114"/>
      <c r="F197" s="114"/>
      <c r="G197" s="114"/>
      <c r="H197" s="34"/>
    </row>
    <row r="198" spans="1:8" x14ac:dyDescent="0.25">
      <c r="A198" s="1" t="s">
        <v>475</v>
      </c>
      <c r="B198" s="2" t="s">
        <v>26</v>
      </c>
      <c r="C198" s="2" t="s">
        <v>476</v>
      </c>
      <c r="D198" s="88" t="s">
        <v>477</v>
      </c>
      <c r="E198" s="88"/>
      <c r="F198" s="2" t="s">
        <v>61</v>
      </c>
      <c r="G198" s="13">
        <v>1</v>
      </c>
      <c r="H198" s="14">
        <v>0</v>
      </c>
    </row>
    <row r="199" spans="1:8" ht="13.5" customHeight="1" x14ac:dyDescent="0.25">
      <c r="A199" s="32"/>
      <c r="C199" s="33" t="s">
        <v>49</v>
      </c>
      <c r="D199" s="113" t="s">
        <v>175</v>
      </c>
      <c r="E199" s="114"/>
      <c r="F199" s="114"/>
      <c r="G199" s="114"/>
      <c r="H199" s="34"/>
    </row>
    <row r="200" spans="1:8" x14ac:dyDescent="0.25">
      <c r="A200" s="1" t="s">
        <v>478</v>
      </c>
      <c r="B200" s="2" t="s">
        <v>26</v>
      </c>
      <c r="C200" s="2" t="s">
        <v>479</v>
      </c>
      <c r="D200" s="88" t="s">
        <v>480</v>
      </c>
      <c r="E200" s="88"/>
      <c r="F200" s="2" t="s">
        <v>231</v>
      </c>
      <c r="G200" s="13">
        <v>888.47</v>
      </c>
      <c r="H200" s="14">
        <v>0</v>
      </c>
    </row>
    <row r="201" spans="1:8" x14ac:dyDescent="0.25">
      <c r="A201" s="28" t="s">
        <v>20</v>
      </c>
      <c r="B201" s="29" t="s">
        <v>26</v>
      </c>
      <c r="C201" s="29" t="s">
        <v>481</v>
      </c>
      <c r="D201" s="112" t="s">
        <v>482</v>
      </c>
      <c r="E201" s="112"/>
      <c r="F201" s="29" t="s">
        <v>20</v>
      </c>
      <c r="G201" s="30" t="s">
        <v>20</v>
      </c>
      <c r="H201" s="31" t="s">
        <v>20</v>
      </c>
    </row>
    <row r="202" spans="1:8" x14ac:dyDescent="0.25">
      <c r="A202" s="1" t="s">
        <v>483</v>
      </c>
      <c r="B202" s="2" t="s">
        <v>26</v>
      </c>
      <c r="C202" s="2" t="s">
        <v>484</v>
      </c>
      <c r="D202" s="88" t="s">
        <v>485</v>
      </c>
      <c r="E202" s="88"/>
      <c r="F202" s="2" t="s">
        <v>91</v>
      </c>
      <c r="G202" s="13">
        <v>23.343</v>
      </c>
      <c r="H202" s="14">
        <v>0</v>
      </c>
    </row>
    <row r="203" spans="1:8" x14ac:dyDescent="0.25">
      <c r="A203" s="32"/>
      <c r="D203" s="35" t="s">
        <v>184</v>
      </c>
      <c r="E203" s="115" t="s">
        <v>20</v>
      </c>
      <c r="F203" s="115"/>
      <c r="G203" s="36">
        <v>23.343</v>
      </c>
      <c r="H203" s="34"/>
    </row>
    <row r="204" spans="1:8" x14ac:dyDescent="0.25">
      <c r="A204" s="1" t="s">
        <v>486</v>
      </c>
      <c r="B204" s="2" t="s">
        <v>26</v>
      </c>
      <c r="C204" s="2" t="s">
        <v>487</v>
      </c>
      <c r="D204" s="88" t="s">
        <v>488</v>
      </c>
      <c r="E204" s="88"/>
      <c r="F204" s="2" t="s">
        <v>91</v>
      </c>
      <c r="G204" s="13">
        <v>23.343</v>
      </c>
      <c r="H204" s="14">
        <v>0</v>
      </c>
    </row>
    <row r="205" spans="1:8" x14ac:dyDescent="0.25">
      <c r="A205" s="32"/>
      <c r="D205" s="35" t="s">
        <v>184</v>
      </c>
      <c r="E205" s="115" t="s">
        <v>20</v>
      </c>
      <c r="F205" s="115"/>
      <c r="G205" s="36">
        <v>23.343</v>
      </c>
      <c r="H205" s="34"/>
    </row>
    <row r="206" spans="1:8" x14ac:dyDescent="0.25">
      <c r="A206" s="1" t="s">
        <v>489</v>
      </c>
      <c r="B206" s="2" t="s">
        <v>26</v>
      </c>
      <c r="C206" s="2" t="s">
        <v>490</v>
      </c>
      <c r="D206" s="88" t="s">
        <v>491</v>
      </c>
      <c r="E206" s="88"/>
      <c r="F206" s="2" t="s">
        <v>127</v>
      </c>
      <c r="G206" s="13">
        <v>37.6</v>
      </c>
      <c r="H206" s="14">
        <v>0</v>
      </c>
    </row>
    <row r="207" spans="1:8" x14ac:dyDescent="0.25">
      <c r="A207" s="32"/>
      <c r="D207" s="35" t="s">
        <v>492</v>
      </c>
      <c r="E207" s="115" t="s">
        <v>20</v>
      </c>
      <c r="F207" s="115"/>
      <c r="G207" s="36">
        <v>30.785</v>
      </c>
      <c r="H207" s="34"/>
    </row>
    <row r="208" spans="1:8" x14ac:dyDescent="0.25">
      <c r="A208" s="1" t="s">
        <v>20</v>
      </c>
      <c r="B208" s="2" t="s">
        <v>20</v>
      </c>
      <c r="C208" s="2" t="s">
        <v>20</v>
      </c>
      <c r="D208" s="35" t="s">
        <v>493</v>
      </c>
      <c r="E208" s="115" t="s">
        <v>20</v>
      </c>
      <c r="F208" s="115"/>
      <c r="G208" s="36">
        <v>6.8150000000000004</v>
      </c>
      <c r="H208" s="37" t="s">
        <v>20</v>
      </c>
    </row>
    <row r="209" spans="1:8" x14ac:dyDescent="0.25">
      <c r="A209" s="1" t="s">
        <v>494</v>
      </c>
      <c r="B209" s="2" t="s">
        <v>26</v>
      </c>
      <c r="C209" s="2" t="s">
        <v>495</v>
      </c>
      <c r="D209" s="88" t="s">
        <v>496</v>
      </c>
      <c r="E209" s="88"/>
      <c r="F209" s="2" t="s">
        <v>91</v>
      </c>
      <c r="G209" s="13">
        <v>23.343</v>
      </c>
      <c r="H209" s="14">
        <v>0</v>
      </c>
    </row>
    <row r="210" spans="1:8" x14ac:dyDescent="0.25">
      <c r="A210" s="32"/>
      <c r="D210" s="35" t="s">
        <v>184</v>
      </c>
      <c r="E210" s="115" t="s">
        <v>20</v>
      </c>
      <c r="F210" s="115"/>
      <c r="G210" s="36">
        <v>23.343</v>
      </c>
      <c r="H210" s="34"/>
    </row>
    <row r="211" spans="1:8" x14ac:dyDescent="0.25">
      <c r="A211" s="1" t="s">
        <v>497</v>
      </c>
      <c r="B211" s="2" t="s">
        <v>26</v>
      </c>
      <c r="C211" s="2" t="s">
        <v>498</v>
      </c>
      <c r="D211" s="88" t="s">
        <v>499</v>
      </c>
      <c r="E211" s="88"/>
      <c r="F211" s="2" t="s">
        <v>91</v>
      </c>
      <c r="G211" s="13">
        <v>23.343</v>
      </c>
      <c r="H211" s="14">
        <v>0</v>
      </c>
    </row>
    <row r="212" spans="1:8" x14ac:dyDescent="0.25">
      <c r="A212" s="32"/>
      <c r="D212" s="35" t="s">
        <v>184</v>
      </c>
      <c r="E212" s="115" t="s">
        <v>20</v>
      </c>
      <c r="F212" s="115"/>
      <c r="G212" s="36">
        <v>23.343</v>
      </c>
      <c r="H212" s="34"/>
    </row>
    <row r="213" spans="1:8" x14ac:dyDescent="0.25">
      <c r="A213" s="1" t="s">
        <v>500</v>
      </c>
      <c r="B213" s="2" t="s">
        <v>26</v>
      </c>
      <c r="C213" s="2" t="s">
        <v>501</v>
      </c>
      <c r="D213" s="88" t="s">
        <v>502</v>
      </c>
      <c r="E213" s="88"/>
      <c r="F213" s="2" t="s">
        <v>91</v>
      </c>
      <c r="G213" s="13">
        <v>25.677299999999999</v>
      </c>
      <c r="H213" s="14">
        <v>0</v>
      </c>
    </row>
    <row r="214" spans="1:8" x14ac:dyDescent="0.25">
      <c r="A214" s="32"/>
      <c r="D214" s="35" t="s">
        <v>503</v>
      </c>
      <c r="E214" s="115" t="s">
        <v>20</v>
      </c>
      <c r="F214" s="115"/>
      <c r="G214" s="36">
        <v>25.677299999999999</v>
      </c>
      <c r="H214" s="34"/>
    </row>
    <row r="215" spans="1:8" x14ac:dyDescent="0.25">
      <c r="A215" s="1" t="s">
        <v>504</v>
      </c>
      <c r="B215" s="2" t="s">
        <v>26</v>
      </c>
      <c r="C215" s="2" t="s">
        <v>505</v>
      </c>
      <c r="D215" s="88" t="s">
        <v>506</v>
      </c>
      <c r="E215" s="88"/>
      <c r="F215" s="2" t="s">
        <v>91</v>
      </c>
      <c r="G215" s="13">
        <v>23.343</v>
      </c>
      <c r="H215" s="14">
        <v>0</v>
      </c>
    </row>
    <row r="216" spans="1:8" x14ac:dyDescent="0.25">
      <c r="A216" s="32"/>
      <c r="D216" s="35" t="s">
        <v>507</v>
      </c>
      <c r="E216" s="115" t="s">
        <v>20</v>
      </c>
      <c r="F216" s="115"/>
      <c r="G216" s="36">
        <v>23.343</v>
      </c>
      <c r="H216" s="34"/>
    </row>
    <row r="217" spans="1:8" x14ac:dyDescent="0.25">
      <c r="A217" s="1" t="s">
        <v>508</v>
      </c>
      <c r="B217" s="2" t="s">
        <v>26</v>
      </c>
      <c r="C217" s="2" t="s">
        <v>509</v>
      </c>
      <c r="D217" s="88" t="s">
        <v>510</v>
      </c>
      <c r="E217" s="88"/>
      <c r="F217" s="2" t="s">
        <v>231</v>
      </c>
      <c r="G217" s="13">
        <v>494.72</v>
      </c>
      <c r="H217" s="14">
        <v>0</v>
      </c>
    </row>
    <row r="218" spans="1:8" x14ac:dyDescent="0.25">
      <c r="A218" s="28" t="s">
        <v>20</v>
      </c>
      <c r="B218" s="29" t="s">
        <v>26</v>
      </c>
      <c r="C218" s="29" t="s">
        <v>511</v>
      </c>
      <c r="D218" s="112" t="s">
        <v>512</v>
      </c>
      <c r="E218" s="112"/>
      <c r="F218" s="29" t="s">
        <v>20</v>
      </c>
      <c r="G218" s="30" t="s">
        <v>20</v>
      </c>
      <c r="H218" s="31" t="s">
        <v>20</v>
      </c>
    </row>
    <row r="219" spans="1:8" x14ac:dyDescent="0.25">
      <c r="A219" s="1" t="s">
        <v>513</v>
      </c>
      <c r="B219" s="2" t="s">
        <v>26</v>
      </c>
      <c r="C219" s="2" t="s">
        <v>514</v>
      </c>
      <c r="D219" s="88" t="s">
        <v>515</v>
      </c>
      <c r="E219" s="88"/>
      <c r="F219" s="2" t="s">
        <v>91</v>
      </c>
      <c r="G219" s="13">
        <v>95.619100000000003</v>
      </c>
      <c r="H219" s="14">
        <v>0</v>
      </c>
    </row>
    <row r="220" spans="1:8" x14ac:dyDescent="0.25">
      <c r="A220" s="32"/>
      <c r="D220" s="35" t="s">
        <v>516</v>
      </c>
      <c r="E220" s="115" t="s">
        <v>20</v>
      </c>
      <c r="F220" s="115"/>
      <c r="G220" s="36">
        <v>3.9639000000000002</v>
      </c>
      <c r="H220" s="34"/>
    </row>
    <row r="221" spans="1:8" x14ac:dyDescent="0.25">
      <c r="A221" s="1" t="s">
        <v>20</v>
      </c>
      <c r="B221" s="2" t="s">
        <v>20</v>
      </c>
      <c r="C221" s="2" t="s">
        <v>20</v>
      </c>
      <c r="D221" s="35" t="s">
        <v>517</v>
      </c>
      <c r="E221" s="115" t="s">
        <v>20</v>
      </c>
      <c r="F221" s="115"/>
      <c r="G221" s="36">
        <v>13.577999999999999</v>
      </c>
      <c r="H221" s="37" t="s">
        <v>20</v>
      </c>
    </row>
    <row r="222" spans="1:8" x14ac:dyDescent="0.25">
      <c r="A222" s="1" t="s">
        <v>20</v>
      </c>
      <c r="B222" s="2" t="s">
        <v>20</v>
      </c>
      <c r="C222" s="2" t="s">
        <v>20</v>
      </c>
      <c r="D222" s="35" t="s">
        <v>517</v>
      </c>
      <c r="E222" s="115" t="s">
        <v>20</v>
      </c>
      <c r="F222" s="115"/>
      <c r="G222" s="36">
        <v>13.577999999999999</v>
      </c>
      <c r="H222" s="37" t="s">
        <v>20</v>
      </c>
    </row>
    <row r="223" spans="1:8" x14ac:dyDescent="0.25">
      <c r="A223" s="1" t="s">
        <v>20</v>
      </c>
      <c r="B223" s="2" t="s">
        <v>20</v>
      </c>
      <c r="C223" s="2" t="s">
        <v>20</v>
      </c>
      <c r="D223" s="35" t="s">
        <v>518</v>
      </c>
      <c r="E223" s="115" t="s">
        <v>20</v>
      </c>
      <c r="F223" s="115"/>
      <c r="G223" s="36">
        <v>4.9931999999999999</v>
      </c>
      <c r="H223" s="37" t="s">
        <v>20</v>
      </c>
    </row>
    <row r="224" spans="1:8" x14ac:dyDescent="0.25">
      <c r="A224" s="1" t="s">
        <v>20</v>
      </c>
      <c r="B224" s="2" t="s">
        <v>20</v>
      </c>
      <c r="C224" s="2" t="s">
        <v>20</v>
      </c>
      <c r="D224" s="35" t="s">
        <v>519</v>
      </c>
      <c r="E224" s="115" t="s">
        <v>20</v>
      </c>
      <c r="F224" s="115"/>
      <c r="G224" s="36">
        <v>5.2560000000000002</v>
      </c>
      <c r="H224" s="37" t="s">
        <v>20</v>
      </c>
    </row>
    <row r="225" spans="1:8" x14ac:dyDescent="0.25">
      <c r="A225" s="1" t="s">
        <v>20</v>
      </c>
      <c r="B225" s="2" t="s">
        <v>20</v>
      </c>
      <c r="C225" s="2" t="s">
        <v>20</v>
      </c>
      <c r="D225" s="35" t="s">
        <v>520</v>
      </c>
      <c r="E225" s="115" t="s">
        <v>20</v>
      </c>
      <c r="F225" s="115"/>
      <c r="G225" s="36">
        <v>-9.4559999999999995</v>
      </c>
      <c r="H225" s="37" t="s">
        <v>20</v>
      </c>
    </row>
    <row r="226" spans="1:8" x14ac:dyDescent="0.25">
      <c r="A226" s="1" t="s">
        <v>20</v>
      </c>
      <c r="B226" s="2" t="s">
        <v>20</v>
      </c>
      <c r="C226" s="2" t="s">
        <v>20</v>
      </c>
      <c r="D226" s="35" t="s">
        <v>521</v>
      </c>
      <c r="E226" s="115" t="s">
        <v>20</v>
      </c>
      <c r="F226" s="115"/>
      <c r="G226" s="36">
        <v>66.858000000000004</v>
      </c>
      <c r="H226" s="37" t="s">
        <v>20</v>
      </c>
    </row>
    <row r="227" spans="1:8" x14ac:dyDescent="0.25">
      <c r="A227" s="1" t="s">
        <v>20</v>
      </c>
      <c r="B227" s="2" t="s">
        <v>20</v>
      </c>
      <c r="C227" s="2" t="s">
        <v>20</v>
      </c>
      <c r="D227" s="35" t="s">
        <v>522</v>
      </c>
      <c r="E227" s="115" t="s">
        <v>20</v>
      </c>
      <c r="F227" s="115"/>
      <c r="G227" s="36">
        <v>-3.1520000000000001</v>
      </c>
      <c r="H227" s="37" t="s">
        <v>20</v>
      </c>
    </row>
    <row r="228" spans="1:8" x14ac:dyDescent="0.25">
      <c r="A228" s="1" t="s">
        <v>523</v>
      </c>
      <c r="B228" s="2" t="s">
        <v>26</v>
      </c>
      <c r="C228" s="2" t="s">
        <v>524</v>
      </c>
      <c r="D228" s="88" t="s">
        <v>525</v>
      </c>
      <c r="E228" s="88"/>
      <c r="F228" s="2" t="s">
        <v>91</v>
      </c>
      <c r="G228" s="13">
        <v>5.64</v>
      </c>
      <c r="H228" s="14">
        <v>0</v>
      </c>
    </row>
    <row r="229" spans="1:8" x14ac:dyDescent="0.25">
      <c r="A229" s="32"/>
      <c r="D229" s="35" t="s">
        <v>526</v>
      </c>
      <c r="E229" s="115" t="s">
        <v>20</v>
      </c>
      <c r="F229" s="115"/>
      <c r="G229" s="36">
        <v>4.61775</v>
      </c>
      <c r="H229" s="34"/>
    </row>
    <row r="230" spans="1:8" x14ac:dyDescent="0.25">
      <c r="A230" s="1" t="s">
        <v>20</v>
      </c>
      <c r="B230" s="2" t="s">
        <v>20</v>
      </c>
      <c r="C230" s="2" t="s">
        <v>20</v>
      </c>
      <c r="D230" s="35" t="s">
        <v>527</v>
      </c>
      <c r="E230" s="115" t="s">
        <v>20</v>
      </c>
      <c r="F230" s="115"/>
      <c r="G230" s="36">
        <v>1.0222500000000001</v>
      </c>
      <c r="H230" s="37" t="s">
        <v>20</v>
      </c>
    </row>
    <row r="231" spans="1:8" x14ac:dyDescent="0.25">
      <c r="A231" s="1" t="s">
        <v>528</v>
      </c>
      <c r="B231" s="2" t="s">
        <v>26</v>
      </c>
      <c r="C231" s="2" t="s">
        <v>529</v>
      </c>
      <c r="D231" s="88" t="s">
        <v>530</v>
      </c>
      <c r="E231" s="88"/>
      <c r="F231" s="2" t="s">
        <v>91</v>
      </c>
      <c r="G231" s="13">
        <v>75.2</v>
      </c>
      <c r="H231" s="14">
        <v>0</v>
      </c>
    </row>
    <row r="232" spans="1:8" x14ac:dyDescent="0.25">
      <c r="A232" s="32"/>
      <c r="D232" s="35" t="s">
        <v>531</v>
      </c>
      <c r="E232" s="115" t="s">
        <v>20</v>
      </c>
      <c r="F232" s="115"/>
      <c r="G232" s="36">
        <v>61.57</v>
      </c>
      <c r="H232" s="34"/>
    </row>
    <row r="233" spans="1:8" x14ac:dyDescent="0.25">
      <c r="A233" s="1" t="s">
        <v>20</v>
      </c>
      <c r="B233" s="2" t="s">
        <v>20</v>
      </c>
      <c r="C233" s="2" t="s">
        <v>20</v>
      </c>
      <c r="D233" s="35" t="s">
        <v>532</v>
      </c>
      <c r="E233" s="115" t="s">
        <v>20</v>
      </c>
      <c r="F233" s="115"/>
      <c r="G233" s="36">
        <v>13.63</v>
      </c>
      <c r="H233" s="37" t="s">
        <v>20</v>
      </c>
    </row>
    <row r="234" spans="1:8" x14ac:dyDescent="0.25">
      <c r="A234" s="1" t="s">
        <v>533</v>
      </c>
      <c r="B234" s="2" t="s">
        <v>26</v>
      </c>
      <c r="C234" s="2" t="s">
        <v>534</v>
      </c>
      <c r="D234" s="88" t="s">
        <v>535</v>
      </c>
      <c r="E234" s="88"/>
      <c r="F234" s="2" t="s">
        <v>91</v>
      </c>
      <c r="G234" s="13">
        <v>80.84</v>
      </c>
      <c r="H234" s="14">
        <v>0</v>
      </c>
    </row>
    <row r="235" spans="1:8" x14ac:dyDescent="0.25">
      <c r="A235" s="1" t="s">
        <v>536</v>
      </c>
      <c r="B235" s="2" t="s">
        <v>26</v>
      </c>
      <c r="C235" s="2" t="s">
        <v>537</v>
      </c>
      <c r="D235" s="88" t="s">
        <v>538</v>
      </c>
      <c r="E235" s="88"/>
      <c r="F235" s="2" t="s">
        <v>91</v>
      </c>
      <c r="G235" s="13">
        <v>80.84</v>
      </c>
      <c r="H235" s="14">
        <v>0</v>
      </c>
    </row>
    <row r="236" spans="1:8" x14ac:dyDescent="0.25">
      <c r="A236" s="1" t="s">
        <v>539</v>
      </c>
      <c r="B236" s="2" t="s">
        <v>26</v>
      </c>
      <c r="C236" s="2" t="s">
        <v>540</v>
      </c>
      <c r="D236" s="88" t="s">
        <v>541</v>
      </c>
      <c r="E236" s="88"/>
      <c r="F236" s="2" t="s">
        <v>91</v>
      </c>
      <c r="G236" s="13">
        <v>80.84</v>
      </c>
      <c r="H236" s="14">
        <v>0</v>
      </c>
    </row>
    <row r="237" spans="1:8" x14ac:dyDescent="0.25">
      <c r="A237" s="1" t="s">
        <v>542</v>
      </c>
      <c r="B237" s="2" t="s">
        <v>26</v>
      </c>
      <c r="C237" s="2" t="s">
        <v>543</v>
      </c>
      <c r="D237" s="88" t="s">
        <v>544</v>
      </c>
      <c r="E237" s="88"/>
      <c r="F237" s="2" t="s">
        <v>127</v>
      </c>
      <c r="G237" s="13">
        <v>58.8</v>
      </c>
      <c r="H237" s="14">
        <v>0</v>
      </c>
    </row>
    <row r="238" spans="1:8" x14ac:dyDescent="0.25">
      <c r="A238" s="32"/>
      <c r="D238" s="35" t="s">
        <v>545</v>
      </c>
      <c r="E238" s="115" t="s">
        <v>20</v>
      </c>
      <c r="F238" s="115"/>
      <c r="G238" s="36">
        <v>58.8</v>
      </c>
      <c r="H238" s="34"/>
    </row>
    <row r="239" spans="1:8" x14ac:dyDescent="0.25">
      <c r="A239" s="1" t="s">
        <v>546</v>
      </c>
      <c r="B239" s="2" t="s">
        <v>26</v>
      </c>
      <c r="C239" s="2" t="s">
        <v>547</v>
      </c>
      <c r="D239" s="88" t="s">
        <v>548</v>
      </c>
      <c r="E239" s="88"/>
      <c r="F239" s="2" t="s">
        <v>127</v>
      </c>
      <c r="G239" s="13">
        <v>60</v>
      </c>
      <c r="H239" s="14">
        <v>0</v>
      </c>
    </row>
    <row r="240" spans="1:8" x14ac:dyDescent="0.25">
      <c r="A240" s="1" t="s">
        <v>549</v>
      </c>
      <c r="B240" s="2" t="s">
        <v>26</v>
      </c>
      <c r="C240" s="2" t="s">
        <v>550</v>
      </c>
      <c r="D240" s="88" t="s">
        <v>551</v>
      </c>
      <c r="E240" s="88"/>
      <c r="F240" s="2" t="s">
        <v>127</v>
      </c>
      <c r="G240" s="13">
        <v>4.03</v>
      </c>
      <c r="H240" s="14">
        <v>0</v>
      </c>
    </row>
    <row r="241" spans="1:8" x14ac:dyDescent="0.25">
      <c r="A241" s="32"/>
      <c r="D241" s="35" t="s">
        <v>552</v>
      </c>
      <c r="E241" s="115" t="s">
        <v>20</v>
      </c>
      <c r="F241" s="115"/>
      <c r="G241" s="36">
        <v>4.03</v>
      </c>
      <c r="H241" s="34"/>
    </row>
    <row r="242" spans="1:8" x14ac:dyDescent="0.25">
      <c r="A242" s="1" t="s">
        <v>553</v>
      </c>
      <c r="B242" s="2" t="s">
        <v>26</v>
      </c>
      <c r="C242" s="2" t="s">
        <v>554</v>
      </c>
      <c r="D242" s="88" t="s">
        <v>555</v>
      </c>
      <c r="E242" s="88"/>
      <c r="F242" s="2" t="s">
        <v>91</v>
      </c>
      <c r="G242" s="13">
        <v>42.246600000000001</v>
      </c>
      <c r="H242" s="14">
        <v>0</v>
      </c>
    </row>
    <row r="243" spans="1:8" x14ac:dyDescent="0.25">
      <c r="A243" s="32"/>
      <c r="D243" s="35" t="s">
        <v>556</v>
      </c>
      <c r="E243" s="115" t="s">
        <v>20</v>
      </c>
      <c r="F243" s="115"/>
      <c r="G243" s="36">
        <v>33.863500000000002</v>
      </c>
      <c r="H243" s="34"/>
    </row>
    <row r="244" spans="1:8" x14ac:dyDescent="0.25">
      <c r="A244" s="1" t="s">
        <v>20</v>
      </c>
      <c r="B244" s="2" t="s">
        <v>20</v>
      </c>
      <c r="C244" s="2" t="s">
        <v>20</v>
      </c>
      <c r="D244" s="35" t="s">
        <v>557</v>
      </c>
      <c r="E244" s="115" t="s">
        <v>20</v>
      </c>
      <c r="F244" s="115"/>
      <c r="G244" s="36">
        <v>7.4965000000000002</v>
      </c>
      <c r="H244" s="37" t="s">
        <v>20</v>
      </c>
    </row>
    <row r="245" spans="1:8" x14ac:dyDescent="0.25">
      <c r="A245" s="1" t="s">
        <v>20</v>
      </c>
      <c r="B245" s="2" t="s">
        <v>20</v>
      </c>
      <c r="C245" s="2" t="s">
        <v>20</v>
      </c>
      <c r="D245" s="35" t="s">
        <v>558</v>
      </c>
      <c r="E245" s="115" t="s">
        <v>20</v>
      </c>
      <c r="F245" s="115"/>
      <c r="G245" s="36">
        <v>0.88660000000000005</v>
      </c>
      <c r="H245" s="37" t="s">
        <v>20</v>
      </c>
    </row>
    <row r="246" spans="1:8" x14ac:dyDescent="0.25">
      <c r="A246" s="1" t="s">
        <v>559</v>
      </c>
      <c r="B246" s="2" t="s">
        <v>26</v>
      </c>
      <c r="C246" s="2" t="s">
        <v>554</v>
      </c>
      <c r="D246" s="88" t="s">
        <v>555</v>
      </c>
      <c r="E246" s="88"/>
      <c r="F246" s="2" t="s">
        <v>91</v>
      </c>
      <c r="G246" s="13">
        <v>42.246600000000001</v>
      </c>
      <c r="H246" s="14">
        <v>0</v>
      </c>
    </row>
    <row r="247" spans="1:8" x14ac:dyDescent="0.25">
      <c r="A247" s="32"/>
      <c r="D247" s="35" t="s">
        <v>556</v>
      </c>
      <c r="E247" s="115" t="s">
        <v>20</v>
      </c>
      <c r="F247" s="115"/>
      <c r="G247" s="36">
        <v>33.863500000000002</v>
      </c>
      <c r="H247" s="34"/>
    </row>
    <row r="248" spans="1:8" x14ac:dyDescent="0.25">
      <c r="A248" s="1" t="s">
        <v>20</v>
      </c>
      <c r="B248" s="2" t="s">
        <v>20</v>
      </c>
      <c r="C248" s="2" t="s">
        <v>20</v>
      </c>
      <c r="D248" s="35" t="s">
        <v>557</v>
      </c>
      <c r="E248" s="115" t="s">
        <v>20</v>
      </c>
      <c r="F248" s="115"/>
      <c r="G248" s="36">
        <v>7.4965000000000002</v>
      </c>
      <c r="H248" s="37" t="s">
        <v>20</v>
      </c>
    </row>
    <row r="249" spans="1:8" x14ac:dyDescent="0.25">
      <c r="A249" s="1" t="s">
        <v>20</v>
      </c>
      <c r="B249" s="2" t="s">
        <v>20</v>
      </c>
      <c r="C249" s="2" t="s">
        <v>20</v>
      </c>
      <c r="D249" s="35" t="s">
        <v>558</v>
      </c>
      <c r="E249" s="115" t="s">
        <v>20</v>
      </c>
      <c r="F249" s="115"/>
      <c r="G249" s="36">
        <v>0.88660000000000005</v>
      </c>
      <c r="H249" s="37" t="s">
        <v>20</v>
      </c>
    </row>
    <row r="250" spans="1:8" x14ac:dyDescent="0.25">
      <c r="A250" s="1" t="s">
        <v>560</v>
      </c>
      <c r="B250" s="2" t="s">
        <v>26</v>
      </c>
      <c r="C250" s="2" t="s">
        <v>561</v>
      </c>
      <c r="D250" s="88" t="s">
        <v>562</v>
      </c>
      <c r="E250" s="88"/>
      <c r="F250" s="2" t="s">
        <v>107</v>
      </c>
      <c r="G250" s="13">
        <v>6.7679999999999998</v>
      </c>
      <c r="H250" s="14">
        <v>0</v>
      </c>
    </row>
    <row r="251" spans="1:8" x14ac:dyDescent="0.25">
      <c r="A251" s="32"/>
      <c r="D251" s="35" t="s">
        <v>563</v>
      </c>
      <c r="E251" s="115" t="s">
        <v>20</v>
      </c>
      <c r="F251" s="115"/>
      <c r="G251" s="36">
        <v>6.7679999999999998</v>
      </c>
      <c r="H251" s="34"/>
    </row>
    <row r="252" spans="1:8" x14ac:dyDescent="0.25">
      <c r="A252" s="1" t="s">
        <v>564</v>
      </c>
      <c r="B252" s="2" t="s">
        <v>26</v>
      </c>
      <c r="C252" s="2" t="s">
        <v>565</v>
      </c>
      <c r="D252" s="88" t="s">
        <v>566</v>
      </c>
      <c r="E252" s="88"/>
      <c r="F252" s="2" t="s">
        <v>61</v>
      </c>
      <c r="G252" s="13">
        <v>1</v>
      </c>
      <c r="H252" s="14">
        <v>0</v>
      </c>
    </row>
    <row r="253" spans="1:8" x14ac:dyDescent="0.25">
      <c r="A253" s="1" t="s">
        <v>567</v>
      </c>
      <c r="B253" s="2" t="s">
        <v>26</v>
      </c>
      <c r="C253" s="2" t="s">
        <v>568</v>
      </c>
      <c r="D253" s="88" t="s">
        <v>569</v>
      </c>
      <c r="E253" s="88"/>
      <c r="F253" s="2" t="s">
        <v>127</v>
      </c>
      <c r="G253" s="13">
        <v>37.6</v>
      </c>
      <c r="H253" s="14">
        <v>0</v>
      </c>
    </row>
    <row r="254" spans="1:8" ht="13.5" customHeight="1" x14ac:dyDescent="0.25">
      <c r="A254" s="32"/>
      <c r="C254" s="33" t="s">
        <v>49</v>
      </c>
      <c r="D254" s="113" t="s">
        <v>175</v>
      </c>
      <c r="E254" s="114"/>
      <c r="F254" s="114"/>
      <c r="G254" s="114"/>
      <c r="H254" s="34"/>
    </row>
    <row r="255" spans="1:8" x14ac:dyDescent="0.25">
      <c r="A255" s="1" t="s">
        <v>570</v>
      </c>
      <c r="B255" s="2" t="s">
        <v>26</v>
      </c>
      <c r="C255" s="2" t="s">
        <v>571</v>
      </c>
      <c r="D255" s="88" t="s">
        <v>572</v>
      </c>
      <c r="E255" s="88"/>
      <c r="F255" s="2" t="s">
        <v>231</v>
      </c>
      <c r="G255" s="13">
        <v>2259.42</v>
      </c>
      <c r="H255" s="14">
        <v>0</v>
      </c>
    </row>
    <row r="256" spans="1:8" x14ac:dyDescent="0.25">
      <c r="A256" s="28" t="s">
        <v>20</v>
      </c>
      <c r="B256" s="29" t="s">
        <v>26</v>
      </c>
      <c r="C256" s="29" t="s">
        <v>573</v>
      </c>
      <c r="D256" s="112" t="s">
        <v>574</v>
      </c>
      <c r="E256" s="112"/>
      <c r="F256" s="29" t="s">
        <v>20</v>
      </c>
      <c r="G256" s="30" t="s">
        <v>20</v>
      </c>
      <c r="H256" s="31" t="s">
        <v>20</v>
      </c>
    </row>
    <row r="257" spans="1:8" x14ac:dyDescent="0.25">
      <c r="A257" s="1" t="s">
        <v>575</v>
      </c>
      <c r="B257" s="2" t="s">
        <v>26</v>
      </c>
      <c r="C257" s="2" t="s">
        <v>576</v>
      </c>
      <c r="D257" s="88" t="s">
        <v>577</v>
      </c>
      <c r="E257" s="88"/>
      <c r="F257" s="2" t="s">
        <v>61</v>
      </c>
      <c r="G257" s="13">
        <v>4</v>
      </c>
      <c r="H257" s="14">
        <v>0</v>
      </c>
    </row>
    <row r="258" spans="1:8" ht="13.5" customHeight="1" x14ac:dyDescent="0.25">
      <c r="A258" s="32"/>
      <c r="C258" s="33" t="s">
        <v>49</v>
      </c>
      <c r="D258" s="113" t="s">
        <v>175</v>
      </c>
      <c r="E258" s="114"/>
      <c r="F258" s="114"/>
      <c r="G258" s="114"/>
      <c r="H258" s="34"/>
    </row>
    <row r="259" spans="1:8" x14ac:dyDescent="0.25">
      <c r="A259" s="28" t="s">
        <v>20</v>
      </c>
      <c r="B259" s="29" t="s">
        <v>26</v>
      </c>
      <c r="C259" s="29" t="s">
        <v>578</v>
      </c>
      <c r="D259" s="112" t="s">
        <v>579</v>
      </c>
      <c r="E259" s="112"/>
      <c r="F259" s="29" t="s">
        <v>20</v>
      </c>
      <c r="G259" s="30" t="s">
        <v>20</v>
      </c>
      <c r="H259" s="31" t="s">
        <v>20</v>
      </c>
    </row>
    <row r="260" spans="1:8" x14ac:dyDescent="0.25">
      <c r="A260" s="1" t="s">
        <v>580</v>
      </c>
      <c r="B260" s="2" t="s">
        <v>26</v>
      </c>
      <c r="C260" s="2" t="s">
        <v>581</v>
      </c>
      <c r="D260" s="88" t="s">
        <v>582</v>
      </c>
      <c r="E260" s="88"/>
      <c r="F260" s="2" t="s">
        <v>91</v>
      </c>
      <c r="G260" s="13">
        <v>223.40299999999999</v>
      </c>
      <c r="H260" s="14">
        <v>0</v>
      </c>
    </row>
    <row r="261" spans="1:8" x14ac:dyDescent="0.25">
      <c r="A261" s="32"/>
      <c r="D261" s="35" t="s">
        <v>149</v>
      </c>
      <c r="E261" s="115" t="s">
        <v>20</v>
      </c>
      <c r="F261" s="115"/>
      <c r="G261" s="36">
        <v>72.344750000000005</v>
      </c>
      <c r="H261" s="34"/>
    </row>
    <row r="262" spans="1:8" x14ac:dyDescent="0.25">
      <c r="A262" s="1" t="s">
        <v>20</v>
      </c>
      <c r="B262" s="2" t="s">
        <v>20</v>
      </c>
      <c r="C262" s="2" t="s">
        <v>20</v>
      </c>
      <c r="D262" s="35" t="s">
        <v>150</v>
      </c>
      <c r="E262" s="115" t="s">
        <v>20</v>
      </c>
      <c r="F262" s="115"/>
      <c r="G262" s="36">
        <v>16.015250000000002</v>
      </c>
      <c r="H262" s="37" t="s">
        <v>20</v>
      </c>
    </row>
    <row r="263" spans="1:8" x14ac:dyDescent="0.25">
      <c r="A263" s="1" t="s">
        <v>20</v>
      </c>
      <c r="B263" s="2" t="s">
        <v>20</v>
      </c>
      <c r="C263" s="2" t="s">
        <v>20</v>
      </c>
      <c r="D263" s="35" t="s">
        <v>184</v>
      </c>
      <c r="E263" s="115" t="s">
        <v>20</v>
      </c>
      <c r="F263" s="115"/>
      <c r="G263" s="36">
        <v>23.343</v>
      </c>
      <c r="H263" s="37" t="s">
        <v>20</v>
      </c>
    </row>
    <row r="264" spans="1:8" x14ac:dyDescent="0.25">
      <c r="A264" s="1" t="s">
        <v>20</v>
      </c>
      <c r="B264" s="2" t="s">
        <v>20</v>
      </c>
      <c r="C264" s="2" t="s">
        <v>20</v>
      </c>
      <c r="D264" s="35" t="s">
        <v>583</v>
      </c>
      <c r="E264" s="115" t="s">
        <v>20</v>
      </c>
      <c r="F264" s="115"/>
      <c r="G264" s="36">
        <v>111.7</v>
      </c>
      <c r="H264" s="37" t="s">
        <v>20</v>
      </c>
    </row>
    <row r="265" spans="1:8" x14ac:dyDescent="0.25">
      <c r="A265" s="1" t="s">
        <v>584</v>
      </c>
      <c r="B265" s="2" t="s">
        <v>26</v>
      </c>
      <c r="C265" s="2" t="s">
        <v>585</v>
      </c>
      <c r="D265" s="88" t="s">
        <v>586</v>
      </c>
      <c r="E265" s="88"/>
      <c r="F265" s="2" t="s">
        <v>91</v>
      </c>
      <c r="G265" s="13">
        <v>223.40299999999999</v>
      </c>
      <c r="H265" s="14">
        <v>0</v>
      </c>
    </row>
    <row r="266" spans="1:8" x14ac:dyDescent="0.25">
      <c r="A266" s="32"/>
      <c r="D266" s="35" t="s">
        <v>149</v>
      </c>
      <c r="E266" s="115" t="s">
        <v>20</v>
      </c>
      <c r="F266" s="115"/>
      <c r="G266" s="36">
        <v>72.344750000000005</v>
      </c>
      <c r="H266" s="34"/>
    </row>
    <row r="267" spans="1:8" x14ac:dyDescent="0.25">
      <c r="A267" s="1" t="s">
        <v>20</v>
      </c>
      <c r="B267" s="2" t="s">
        <v>20</v>
      </c>
      <c r="C267" s="2" t="s">
        <v>20</v>
      </c>
      <c r="D267" s="35" t="s">
        <v>150</v>
      </c>
      <c r="E267" s="115" t="s">
        <v>20</v>
      </c>
      <c r="F267" s="115"/>
      <c r="G267" s="36">
        <v>16.015250000000002</v>
      </c>
      <c r="H267" s="37" t="s">
        <v>20</v>
      </c>
    </row>
    <row r="268" spans="1:8" x14ac:dyDescent="0.25">
      <c r="A268" s="1" t="s">
        <v>20</v>
      </c>
      <c r="B268" s="2" t="s">
        <v>20</v>
      </c>
      <c r="C268" s="2" t="s">
        <v>20</v>
      </c>
      <c r="D268" s="35" t="s">
        <v>184</v>
      </c>
      <c r="E268" s="115" t="s">
        <v>20</v>
      </c>
      <c r="F268" s="115"/>
      <c r="G268" s="36">
        <v>23.343</v>
      </c>
      <c r="H268" s="37" t="s">
        <v>20</v>
      </c>
    </row>
    <row r="269" spans="1:8" x14ac:dyDescent="0.25">
      <c r="A269" s="1" t="s">
        <v>20</v>
      </c>
      <c r="B269" s="2" t="s">
        <v>20</v>
      </c>
      <c r="C269" s="2" t="s">
        <v>20</v>
      </c>
      <c r="D269" s="35" t="s">
        <v>583</v>
      </c>
      <c r="E269" s="115" t="s">
        <v>20</v>
      </c>
      <c r="F269" s="115"/>
      <c r="G269" s="36">
        <v>111.7</v>
      </c>
      <c r="H269" s="37" t="s">
        <v>20</v>
      </c>
    </row>
    <row r="270" spans="1:8" x14ac:dyDescent="0.25">
      <c r="A270" s="28" t="s">
        <v>20</v>
      </c>
      <c r="B270" s="29" t="s">
        <v>26</v>
      </c>
      <c r="C270" s="29" t="s">
        <v>383</v>
      </c>
      <c r="D270" s="112" t="s">
        <v>587</v>
      </c>
      <c r="E270" s="112"/>
      <c r="F270" s="29" t="s">
        <v>20</v>
      </c>
      <c r="G270" s="30" t="s">
        <v>20</v>
      </c>
      <c r="H270" s="31" t="s">
        <v>20</v>
      </c>
    </row>
    <row r="271" spans="1:8" x14ac:dyDescent="0.25">
      <c r="A271" s="1" t="s">
        <v>588</v>
      </c>
      <c r="B271" s="2" t="s">
        <v>26</v>
      </c>
      <c r="C271" s="2" t="s">
        <v>589</v>
      </c>
      <c r="D271" s="88" t="s">
        <v>590</v>
      </c>
      <c r="E271" s="88"/>
      <c r="F271" s="2" t="s">
        <v>91</v>
      </c>
      <c r="G271" s="13">
        <v>40.695999999999998</v>
      </c>
      <c r="H271" s="14">
        <v>0</v>
      </c>
    </row>
    <row r="272" spans="1:8" x14ac:dyDescent="0.25">
      <c r="A272" s="32"/>
      <c r="D272" s="35" t="s">
        <v>591</v>
      </c>
      <c r="E272" s="115" t="s">
        <v>20</v>
      </c>
      <c r="F272" s="115"/>
      <c r="G272" s="36">
        <v>40.695999999999998</v>
      </c>
      <c r="H272" s="34"/>
    </row>
    <row r="273" spans="1:8" x14ac:dyDescent="0.25">
      <c r="A273" s="28" t="s">
        <v>20</v>
      </c>
      <c r="B273" s="29" t="s">
        <v>26</v>
      </c>
      <c r="C273" s="29" t="s">
        <v>385</v>
      </c>
      <c r="D273" s="112" t="s">
        <v>592</v>
      </c>
      <c r="E273" s="112"/>
      <c r="F273" s="29" t="s">
        <v>20</v>
      </c>
      <c r="G273" s="30" t="s">
        <v>20</v>
      </c>
      <c r="H273" s="31" t="s">
        <v>20</v>
      </c>
    </row>
    <row r="274" spans="1:8" x14ac:dyDescent="0.25">
      <c r="A274" s="1" t="s">
        <v>593</v>
      </c>
      <c r="B274" s="2" t="s">
        <v>26</v>
      </c>
      <c r="C274" s="2" t="s">
        <v>594</v>
      </c>
      <c r="D274" s="88" t="s">
        <v>595</v>
      </c>
      <c r="E274" s="88"/>
      <c r="F274" s="2" t="s">
        <v>91</v>
      </c>
      <c r="G274" s="13">
        <v>23.343</v>
      </c>
      <c r="H274" s="14">
        <v>0</v>
      </c>
    </row>
    <row r="275" spans="1:8" x14ac:dyDescent="0.25">
      <c r="A275" s="28" t="s">
        <v>20</v>
      </c>
      <c r="B275" s="29" t="s">
        <v>26</v>
      </c>
      <c r="C275" s="29" t="s">
        <v>387</v>
      </c>
      <c r="D275" s="112" t="s">
        <v>596</v>
      </c>
      <c r="E275" s="112"/>
      <c r="F275" s="29" t="s">
        <v>20</v>
      </c>
      <c r="G275" s="30" t="s">
        <v>20</v>
      </c>
      <c r="H275" s="31" t="s">
        <v>20</v>
      </c>
    </row>
    <row r="276" spans="1:8" x14ac:dyDescent="0.25">
      <c r="A276" s="1" t="s">
        <v>597</v>
      </c>
      <c r="B276" s="2" t="s">
        <v>26</v>
      </c>
      <c r="C276" s="2" t="s">
        <v>598</v>
      </c>
      <c r="D276" s="88" t="s">
        <v>599</v>
      </c>
      <c r="E276" s="88"/>
      <c r="F276" s="2" t="s">
        <v>91</v>
      </c>
      <c r="G276" s="13">
        <v>23.343</v>
      </c>
      <c r="H276" s="14">
        <v>0</v>
      </c>
    </row>
    <row r="277" spans="1:8" x14ac:dyDescent="0.25">
      <c r="A277" s="32"/>
      <c r="D277" s="35" t="s">
        <v>184</v>
      </c>
      <c r="E277" s="115" t="s">
        <v>20</v>
      </c>
      <c r="F277" s="115"/>
      <c r="G277" s="36">
        <v>23.343</v>
      </c>
      <c r="H277" s="34"/>
    </row>
    <row r="278" spans="1:8" x14ac:dyDescent="0.25">
      <c r="A278" s="1" t="s">
        <v>600</v>
      </c>
      <c r="B278" s="2" t="s">
        <v>26</v>
      </c>
      <c r="C278" s="2" t="s">
        <v>601</v>
      </c>
      <c r="D278" s="88" t="s">
        <v>602</v>
      </c>
      <c r="E278" s="88"/>
      <c r="F278" s="2" t="s">
        <v>91</v>
      </c>
      <c r="G278" s="13">
        <v>7.88</v>
      </c>
      <c r="H278" s="14">
        <v>0</v>
      </c>
    </row>
    <row r="279" spans="1:8" x14ac:dyDescent="0.25">
      <c r="A279" s="32"/>
      <c r="D279" s="35" t="s">
        <v>603</v>
      </c>
      <c r="E279" s="115" t="s">
        <v>20</v>
      </c>
      <c r="F279" s="115"/>
      <c r="G279" s="36">
        <v>7.88</v>
      </c>
      <c r="H279" s="34"/>
    </row>
    <row r="280" spans="1:8" x14ac:dyDescent="0.25">
      <c r="A280" s="1" t="s">
        <v>604</v>
      </c>
      <c r="B280" s="2" t="s">
        <v>26</v>
      </c>
      <c r="C280" s="2" t="s">
        <v>605</v>
      </c>
      <c r="D280" s="88" t="s">
        <v>606</v>
      </c>
      <c r="E280" s="88"/>
      <c r="F280" s="2" t="s">
        <v>102</v>
      </c>
      <c r="G280" s="13">
        <v>2.3342999999999998</v>
      </c>
      <c r="H280" s="14">
        <v>0</v>
      </c>
    </row>
    <row r="281" spans="1:8" x14ac:dyDescent="0.25">
      <c r="A281" s="32"/>
      <c r="D281" s="35" t="s">
        <v>180</v>
      </c>
      <c r="E281" s="115" t="s">
        <v>20</v>
      </c>
      <c r="F281" s="115"/>
      <c r="G281" s="36">
        <v>2.3342999999999998</v>
      </c>
      <c r="H281" s="34"/>
    </row>
    <row r="282" spans="1:8" x14ac:dyDescent="0.25">
      <c r="A282" s="1" t="s">
        <v>607</v>
      </c>
      <c r="B282" s="2" t="s">
        <v>26</v>
      </c>
      <c r="C282" s="2" t="s">
        <v>608</v>
      </c>
      <c r="D282" s="88" t="s">
        <v>609</v>
      </c>
      <c r="E282" s="88"/>
      <c r="F282" s="2" t="s">
        <v>127</v>
      </c>
      <c r="G282" s="13">
        <v>33</v>
      </c>
      <c r="H282" s="14">
        <v>0</v>
      </c>
    </row>
    <row r="283" spans="1:8" x14ac:dyDescent="0.25">
      <c r="A283" s="1" t="s">
        <v>610</v>
      </c>
      <c r="B283" s="2" t="s">
        <v>26</v>
      </c>
      <c r="C283" s="2" t="s">
        <v>611</v>
      </c>
      <c r="D283" s="88" t="s">
        <v>612</v>
      </c>
      <c r="E283" s="88"/>
      <c r="F283" s="2" t="s">
        <v>127</v>
      </c>
      <c r="G283" s="13">
        <v>22</v>
      </c>
      <c r="H283" s="14">
        <v>0</v>
      </c>
    </row>
    <row r="284" spans="1:8" x14ac:dyDescent="0.25">
      <c r="A284" s="32"/>
      <c r="D284" s="35" t="s">
        <v>136</v>
      </c>
      <c r="E284" s="115" t="s">
        <v>20</v>
      </c>
      <c r="F284" s="115"/>
      <c r="G284" s="36">
        <v>22</v>
      </c>
      <c r="H284" s="34"/>
    </row>
    <row r="285" spans="1:8" x14ac:dyDescent="0.25">
      <c r="A285" s="1" t="s">
        <v>613</v>
      </c>
      <c r="B285" s="2" t="s">
        <v>26</v>
      </c>
      <c r="C285" s="2" t="s">
        <v>614</v>
      </c>
      <c r="D285" s="88" t="s">
        <v>615</v>
      </c>
      <c r="E285" s="88"/>
      <c r="F285" s="2" t="s">
        <v>91</v>
      </c>
      <c r="G285" s="13">
        <v>17.938500000000001</v>
      </c>
      <c r="H285" s="14">
        <v>0</v>
      </c>
    </row>
    <row r="286" spans="1:8" x14ac:dyDescent="0.25">
      <c r="A286" s="32"/>
      <c r="D286" s="35" t="s">
        <v>516</v>
      </c>
      <c r="E286" s="115" t="s">
        <v>20</v>
      </c>
      <c r="F286" s="115"/>
      <c r="G286" s="36">
        <v>3.9639000000000002</v>
      </c>
      <c r="H286" s="34"/>
    </row>
    <row r="287" spans="1:8" x14ac:dyDescent="0.25">
      <c r="A287" s="1" t="s">
        <v>20</v>
      </c>
      <c r="B287" s="2" t="s">
        <v>20</v>
      </c>
      <c r="C287" s="2" t="s">
        <v>20</v>
      </c>
      <c r="D287" s="35" t="s">
        <v>616</v>
      </c>
      <c r="E287" s="115" t="s">
        <v>20</v>
      </c>
      <c r="F287" s="115"/>
      <c r="G287" s="36">
        <v>6.7889999999999997</v>
      </c>
      <c r="H287" s="37" t="s">
        <v>20</v>
      </c>
    </row>
    <row r="288" spans="1:8" x14ac:dyDescent="0.25">
      <c r="A288" s="1" t="s">
        <v>20</v>
      </c>
      <c r="B288" s="2" t="s">
        <v>20</v>
      </c>
      <c r="C288" s="2" t="s">
        <v>20</v>
      </c>
      <c r="D288" s="35" t="s">
        <v>616</v>
      </c>
      <c r="E288" s="115" t="s">
        <v>20</v>
      </c>
      <c r="F288" s="115"/>
      <c r="G288" s="36">
        <v>6.7889999999999997</v>
      </c>
      <c r="H288" s="37" t="s">
        <v>20</v>
      </c>
    </row>
    <row r="289" spans="1:8" x14ac:dyDescent="0.25">
      <c r="A289" s="1" t="s">
        <v>20</v>
      </c>
      <c r="B289" s="2" t="s">
        <v>20</v>
      </c>
      <c r="C289" s="2" t="s">
        <v>20</v>
      </c>
      <c r="D289" s="35" t="s">
        <v>617</v>
      </c>
      <c r="E289" s="115" t="s">
        <v>20</v>
      </c>
      <c r="F289" s="115"/>
      <c r="G289" s="36">
        <v>2.4965999999999999</v>
      </c>
      <c r="H289" s="37" t="s">
        <v>20</v>
      </c>
    </row>
    <row r="290" spans="1:8" x14ac:dyDescent="0.25">
      <c r="A290" s="1" t="s">
        <v>20</v>
      </c>
      <c r="B290" s="2" t="s">
        <v>20</v>
      </c>
      <c r="C290" s="2" t="s">
        <v>20</v>
      </c>
      <c r="D290" s="35" t="s">
        <v>618</v>
      </c>
      <c r="E290" s="115" t="s">
        <v>20</v>
      </c>
      <c r="F290" s="115"/>
      <c r="G290" s="36">
        <v>2.6280000000000001</v>
      </c>
      <c r="H290" s="37" t="s">
        <v>20</v>
      </c>
    </row>
    <row r="291" spans="1:8" x14ac:dyDescent="0.25">
      <c r="A291" s="1" t="s">
        <v>20</v>
      </c>
      <c r="B291" s="2" t="s">
        <v>20</v>
      </c>
      <c r="C291" s="2" t="s">
        <v>20</v>
      </c>
      <c r="D291" s="35" t="s">
        <v>619</v>
      </c>
      <c r="E291" s="115" t="s">
        <v>20</v>
      </c>
      <c r="F291" s="115"/>
      <c r="G291" s="36">
        <v>-4.7279999999999998</v>
      </c>
      <c r="H291" s="37" t="s">
        <v>20</v>
      </c>
    </row>
    <row r="292" spans="1:8" x14ac:dyDescent="0.25">
      <c r="A292" s="1" t="s">
        <v>620</v>
      </c>
      <c r="B292" s="2" t="s">
        <v>26</v>
      </c>
      <c r="C292" s="2" t="s">
        <v>621</v>
      </c>
      <c r="D292" s="88" t="s">
        <v>622</v>
      </c>
      <c r="E292" s="88"/>
      <c r="F292" s="2" t="s">
        <v>107</v>
      </c>
      <c r="G292" s="13">
        <v>3</v>
      </c>
      <c r="H292" s="14">
        <v>0</v>
      </c>
    </row>
    <row r="293" spans="1:8" x14ac:dyDescent="0.25">
      <c r="A293" s="32"/>
      <c r="D293" s="35" t="s">
        <v>28</v>
      </c>
      <c r="E293" s="115" t="s">
        <v>20</v>
      </c>
      <c r="F293" s="115"/>
      <c r="G293" s="36">
        <v>3</v>
      </c>
      <c r="H293" s="34"/>
    </row>
    <row r="294" spans="1:8" x14ac:dyDescent="0.25">
      <c r="A294" s="1" t="s">
        <v>623</v>
      </c>
      <c r="B294" s="2" t="s">
        <v>26</v>
      </c>
      <c r="C294" s="2" t="s">
        <v>624</v>
      </c>
      <c r="D294" s="88" t="s">
        <v>625</v>
      </c>
      <c r="E294" s="88"/>
      <c r="F294" s="2" t="s">
        <v>91</v>
      </c>
      <c r="G294" s="13">
        <v>4.3512000000000004</v>
      </c>
      <c r="H294" s="14">
        <v>0</v>
      </c>
    </row>
    <row r="295" spans="1:8" x14ac:dyDescent="0.25">
      <c r="A295" s="32"/>
      <c r="D295" s="35" t="s">
        <v>626</v>
      </c>
      <c r="E295" s="115" t="s">
        <v>20</v>
      </c>
      <c r="F295" s="115"/>
      <c r="G295" s="36">
        <v>4.3512000000000004</v>
      </c>
      <c r="H295" s="34"/>
    </row>
    <row r="296" spans="1:8" x14ac:dyDescent="0.25">
      <c r="A296" s="1" t="s">
        <v>627</v>
      </c>
      <c r="B296" s="2" t="s">
        <v>26</v>
      </c>
      <c r="C296" s="2" t="s">
        <v>628</v>
      </c>
      <c r="D296" s="88" t="s">
        <v>629</v>
      </c>
      <c r="E296" s="88"/>
      <c r="F296" s="2" t="s">
        <v>107</v>
      </c>
      <c r="G296" s="13">
        <v>6</v>
      </c>
      <c r="H296" s="14">
        <v>0</v>
      </c>
    </row>
    <row r="297" spans="1:8" x14ac:dyDescent="0.25">
      <c r="A297" s="28" t="s">
        <v>20</v>
      </c>
      <c r="B297" s="29" t="s">
        <v>26</v>
      </c>
      <c r="C297" s="29" t="s">
        <v>390</v>
      </c>
      <c r="D297" s="112" t="s">
        <v>630</v>
      </c>
      <c r="E297" s="112"/>
      <c r="F297" s="29" t="s">
        <v>20</v>
      </c>
      <c r="G297" s="30" t="s">
        <v>20</v>
      </c>
      <c r="H297" s="31" t="s">
        <v>20</v>
      </c>
    </row>
    <row r="298" spans="1:8" x14ac:dyDescent="0.25">
      <c r="A298" s="1" t="s">
        <v>631</v>
      </c>
      <c r="B298" s="2" t="s">
        <v>26</v>
      </c>
      <c r="C298" s="2" t="s">
        <v>632</v>
      </c>
      <c r="D298" s="88" t="s">
        <v>633</v>
      </c>
      <c r="E298" s="88"/>
      <c r="F298" s="2" t="s">
        <v>127</v>
      </c>
      <c r="G298" s="13">
        <v>47</v>
      </c>
      <c r="H298" s="14">
        <v>0</v>
      </c>
    </row>
    <row r="299" spans="1:8" x14ac:dyDescent="0.25">
      <c r="A299" s="1" t="s">
        <v>634</v>
      </c>
      <c r="B299" s="2" t="s">
        <v>26</v>
      </c>
      <c r="C299" s="2" t="s">
        <v>635</v>
      </c>
      <c r="D299" s="88" t="s">
        <v>636</v>
      </c>
      <c r="E299" s="88"/>
      <c r="F299" s="2" t="s">
        <v>91</v>
      </c>
      <c r="G299" s="13">
        <v>119.0031</v>
      </c>
      <c r="H299" s="14">
        <v>0</v>
      </c>
    </row>
    <row r="300" spans="1:8" x14ac:dyDescent="0.25">
      <c r="A300" s="32"/>
      <c r="D300" s="35" t="s">
        <v>98</v>
      </c>
      <c r="E300" s="115" t="s">
        <v>20</v>
      </c>
      <c r="F300" s="115"/>
      <c r="G300" s="36">
        <v>119.0031</v>
      </c>
      <c r="H300" s="34"/>
    </row>
    <row r="301" spans="1:8" x14ac:dyDescent="0.25">
      <c r="A301" s="1" t="s">
        <v>637</v>
      </c>
      <c r="B301" s="2" t="s">
        <v>26</v>
      </c>
      <c r="C301" s="2" t="s">
        <v>638</v>
      </c>
      <c r="D301" s="88" t="s">
        <v>639</v>
      </c>
      <c r="E301" s="88"/>
      <c r="F301" s="2" t="s">
        <v>127</v>
      </c>
      <c r="G301" s="13">
        <v>3</v>
      </c>
      <c r="H301" s="14">
        <v>0</v>
      </c>
    </row>
    <row r="302" spans="1:8" x14ac:dyDescent="0.25">
      <c r="A302" s="1" t="s">
        <v>640</v>
      </c>
      <c r="B302" s="2" t="s">
        <v>26</v>
      </c>
      <c r="C302" s="2" t="s">
        <v>641</v>
      </c>
      <c r="D302" s="88" t="s">
        <v>642</v>
      </c>
      <c r="E302" s="88"/>
      <c r="F302" s="2" t="s">
        <v>127</v>
      </c>
      <c r="G302" s="13">
        <v>4.2</v>
      </c>
      <c r="H302" s="14">
        <v>0</v>
      </c>
    </row>
    <row r="303" spans="1:8" x14ac:dyDescent="0.25">
      <c r="A303" s="32"/>
      <c r="D303" s="35" t="s">
        <v>643</v>
      </c>
      <c r="E303" s="115" t="s">
        <v>20</v>
      </c>
      <c r="F303" s="115"/>
      <c r="G303" s="36">
        <v>4.2</v>
      </c>
      <c r="H303" s="34"/>
    </row>
    <row r="304" spans="1:8" x14ac:dyDescent="0.25">
      <c r="A304" s="28" t="s">
        <v>20</v>
      </c>
      <c r="B304" s="29" t="s">
        <v>26</v>
      </c>
      <c r="C304" s="29" t="s">
        <v>644</v>
      </c>
      <c r="D304" s="112" t="s">
        <v>645</v>
      </c>
      <c r="E304" s="112"/>
      <c r="F304" s="29" t="s">
        <v>20</v>
      </c>
      <c r="G304" s="30" t="s">
        <v>20</v>
      </c>
      <c r="H304" s="31" t="s">
        <v>20</v>
      </c>
    </row>
    <row r="305" spans="1:8" x14ac:dyDescent="0.25">
      <c r="A305" s="1" t="s">
        <v>646</v>
      </c>
      <c r="B305" s="2" t="s">
        <v>26</v>
      </c>
      <c r="C305" s="2" t="s">
        <v>647</v>
      </c>
      <c r="D305" s="88" t="s">
        <v>648</v>
      </c>
      <c r="E305" s="88"/>
      <c r="F305" s="2" t="s">
        <v>649</v>
      </c>
      <c r="G305" s="13">
        <v>11.219900000000001</v>
      </c>
      <c r="H305" s="14">
        <v>0</v>
      </c>
    </row>
    <row r="306" spans="1:8" x14ac:dyDescent="0.25">
      <c r="A306" s="28" t="s">
        <v>20</v>
      </c>
      <c r="B306" s="29" t="s">
        <v>26</v>
      </c>
      <c r="C306" s="29" t="s">
        <v>650</v>
      </c>
      <c r="D306" s="112" t="s">
        <v>651</v>
      </c>
      <c r="E306" s="112"/>
      <c r="F306" s="29" t="s">
        <v>20</v>
      </c>
      <c r="G306" s="30" t="s">
        <v>20</v>
      </c>
      <c r="H306" s="31" t="s">
        <v>20</v>
      </c>
    </row>
    <row r="307" spans="1:8" x14ac:dyDescent="0.25">
      <c r="A307" s="1" t="s">
        <v>652</v>
      </c>
      <c r="B307" s="2" t="s">
        <v>26</v>
      </c>
      <c r="C307" s="2" t="s">
        <v>650</v>
      </c>
      <c r="D307" s="88" t="s">
        <v>653</v>
      </c>
      <c r="E307" s="88"/>
      <c r="F307" s="2" t="s">
        <v>61</v>
      </c>
      <c r="G307" s="13">
        <v>1</v>
      </c>
      <c r="H307" s="14">
        <v>0</v>
      </c>
    </row>
    <row r="308" spans="1:8" x14ac:dyDescent="0.25">
      <c r="A308" s="28" t="s">
        <v>20</v>
      </c>
      <c r="B308" s="29" t="s">
        <v>26</v>
      </c>
      <c r="C308" s="29" t="s">
        <v>654</v>
      </c>
      <c r="D308" s="112" t="s">
        <v>655</v>
      </c>
      <c r="E308" s="112"/>
      <c r="F308" s="29" t="s">
        <v>20</v>
      </c>
      <c r="G308" s="30" t="s">
        <v>20</v>
      </c>
      <c r="H308" s="31" t="s">
        <v>20</v>
      </c>
    </row>
    <row r="309" spans="1:8" x14ac:dyDescent="0.25">
      <c r="A309" s="1" t="s">
        <v>656</v>
      </c>
      <c r="B309" s="2" t="s">
        <v>26</v>
      </c>
      <c r="C309" s="2" t="s">
        <v>657</v>
      </c>
      <c r="D309" s="88" t="s">
        <v>658</v>
      </c>
      <c r="E309" s="88"/>
      <c r="F309" s="2" t="s">
        <v>649</v>
      </c>
      <c r="G309" s="13">
        <v>28.627199999999998</v>
      </c>
      <c r="H309" s="14">
        <v>0</v>
      </c>
    </row>
    <row r="310" spans="1:8" x14ac:dyDescent="0.25">
      <c r="A310" s="1" t="s">
        <v>659</v>
      </c>
      <c r="B310" s="2" t="s">
        <v>26</v>
      </c>
      <c r="C310" s="2" t="s">
        <v>660</v>
      </c>
      <c r="D310" s="88" t="s">
        <v>661</v>
      </c>
      <c r="E310" s="88"/>
      <c r="F310" s="2" t="s">
        <v>649</v>
      </c>
      <c r="G310" s="13">
        <v>28.627199999999998</v>
      </c>
      <c r="H310" s="14">
        <v>0</v>
      </c>
    </row>
    <row r="311" spans="1:8" x14ac:dyDescent="0.25">
      <c r="A311" s="1" t="s">
        <v>662</v>
      </c>
      <c r="B311" s="2" t="s">
        <v>26</v>
      </c>
      <c r="C311" s="2" t="s">
        <v>663</v>
      </c>
      <c r="D311" s="88" t="s">
        <v>664</v>
      </c>
      <c r="E311" s="88"/>
      <c r="F311" s="2" t="s">
        <v>649</v>
      </c>
      <c r="G311" s="13">
        <v>28.627199999999998</v>
      </c>
      <c r="H311" s="14">
        <v>0</v>
      </c>
    </row>
    <row r="312" spans="1:8" x14ac:dyDescent="0.25">
      <c r="A312" s="1" t="s">
        <v>665</v>
      </c>
      <c r="B312" s="2" t="s">
        <v>26</v>
      </c>
      <c r="C312" s="2" t="s">
        <v>666</v>
      </c>
      <c r="D312" s="88" t="s">
        <v>667</v>
      </c>
      <c r="E312" s="88"/>
      <c r="F312" s="2" t="s">
        <v>649</v>
      </c>
      <c r="G312" s="13">
        <v>28.627199999999998</v>
      </c>
      <c r="H312" s="14">
        <v>0</v>
      </c>
    </row>
    <row r="313" spans="1:8" x14ac:dyDescent="0.25">
      <c r="A313" s="1" t="s">
        <v>668</v>
      </c>
      <c r="B313" s="2" t="s">
        <v>26</v>
      </c>
      <c r="C313" s="2" t="s">
        <v>669</v>
      </c>
      <c r="D313" s="88" t="s">
        <v>670</v>
      </c>
      <c r="E313" s="88"/>
      <c r="F313" s="2" t="s">
        <v>649</v>
      </c>
      <c r="G313" s="13">
        <v>28.627199999999998</v>
      </c>
      <c r="H313" s="14">
        <v>0</v>
      </c>
    </row>
    <row r="314" spans="1:8" x14ac:dyDescent="0.25">
      <c r="A314" s="1" t="s">
        <v>671</v>
      </c>
      <c r="B314" s="2" t="s">
        <v>26</v>
      </c>
      <c r="C314" s="2" t="s">
        <v>672</v>
      </c>
      <c r="D314" s="88" t="s">
        <v>673</v>
      </c>
      <c r="E314" s="88"/>
      <c r="F314" s="2" t="s">
        <v>649</v>
      </c>
      <c r="G314" s="13">
        <v>286.27199999999999</v>
      </c>
      <c r="H314" s="14">
        <v>0</v>
      </c>
    </row>
    <row r="315" spans="1:8" x14ac:dyDescent="0.25">
      <c r="A315" s="32"/>
      <c r="D315" s="35" t="s">
        <v>674</v>
      </c>
      <c r="E315" s="115" t="s">
        <v>20</v>
      </c>
      <c r="F315" s="115"/>
      <c r="G315" s="36">
        <v>286.27199999999999</v>
      </c>
      <c r="H315" s="34"/>
    </row>
    <row r="316" spans="1:8" x14ac:dyDescent="0.25">
      <c r="A316" s="1" t="s">
        <v>675</v>
      </c>
      <c r="B316" s="2" t="s">
        <v>26</v>
      </c>
      <c r="C316" s="2" t="s">
        <v>676</v>
      </c>
      <c r="D316" s="88" t="s">
        <v>677</v>
      </c>
      <c r="E316" s="88"/>
      <c r="F316" s="2" t="s">
        <v>649</v>
      </c>
      <c r="G316" s="13">
        <v>28.627199999999998</v>
      </c>
      <c r="H316" s="14">
        <v>0</v>
      </c>
    </row>
    <row r="317" spans="1:8" ht="13.5" customHeight="1" x14ac:dyDescent="0.25">
      <c r="A317" s="32"/>
      <c r="C317" s="33" t="s">
        <v>49</v>
      </c>
      <c r="D317" s="113" t="s">
        <v>678</v>
      </c>
      <c r="E317" s="114"/>
      <c r="F317" s="114"/>
      <c r="G317" s="114"/>
      <c r="H317" s="34"/>
    </row>
    <row r="318" spans="1:8" x14ac:dyDescent="0.25">
      <c r="A318" s="28" t="s">
        <v>20</v>
      </c>
      <c r="B318" s="29" t="s">
        <v>46</v>
      </c>
      <c r="C318" s="29" t="s">
        <v>20</v>
      </c>
      <c r="D318" s="112" t="s">
        <v>47</v>
      </c>
      <c r="E318" s="112"/>
      <c r="F318" s="29" t="s">
        <v>20</v>
      </c>
      <c r="G318" s="30" t="s">
        <v>20</v>
      </c>
      <c r="H318" s="31" t="s">
        <v>20</v>
      </c>
    </row>
    <row r="319" spans="1:8" x14ac:dyDescent="0.25">
      <c r="A319" s="28" t="s">
        <v>20</v>
      </c>
      <c r="B319" s="29" t="s">
        <v>46</v>
      </c>
      <c r="C319" s="29" t="s">
        <v>93</v>
      </c>
      <c r="D319" s="112" t="s">
        <v>94</v>
      </c>
      <c r="E319" s="112"/>
      <c r="F319" s="29" t="s">
        <v>20</v>
      </c>
      <c r="G319" s="30" t="s">
        <v>20</v>
      </c>
      <c r="H319" s="31" t="s">
        <v>20</v>
      </c>
    </row>
    <row r="320" spans="1:8" x14ac:dyDescent="0.25">
      <c r="A320" s="1" t="s">
        <v>679</v>
      </c>
      <c r="B320" s="2" t="s">
        <v>46</v>
      </c>
      <c r="C320" s="2" t="s">
        <v>680</v>
      </c>
      <c r="D320" s="88" t="s">
        <v>681</v>
      </c>
      <c r="E320" s="88"/>
      <c r="F320" s="2" t="s">
        <v>202</v>
      </c>
      <c r="G320" s="13">
        <v>2</v>
      </c>
      <c r="H320" s="14">
        <v>0</v>
      </c>
    </row>
    <row r="321" spans="1:8" x14ac:dyDescent="0.25">
      <c r="A321" s="28" t="s">
        <v>20</v>
      </c>
      <c r="B321" s="29" t="s">
        <v>46</v>
      </c>
      <c r="C321" s="29" t="s">
        <v>176</v>
      </c>
      <c r="D321" s="112" t="s">
        <v>177</v>
      </c>
      <c r="E321" s="112"/>
      <c r="F321" s="29" t="s">
        <v>20</v>
      </c>
      <c r="G321" s="30" t="s">
        <v>20</v>
      </c>
      <c r="H321" s="31" t="s">
        <v>20</v>
      </c>
    </row>
    <row r="322" spans="1:8" x14ac:dyDescent="0.25">
      <c r="A322" s="1" t="s">
        <v>682</v>
      </c>
      <c r="B322" s="2" t="s">
        <v>46</v>
      </c>
      <c r="C322" s="2" t="s">
        <v>200</v>
      </c>
      <c r="D322" s="88" t="s">
        <v>201</v>
      </c>
      <c r="E322" s="88"/>
      <c r="F322" s="2" t="s">
        <v>202</v>
      </c>
      <c r="G322" s="13">
        <v>2</v>
      </c>
      <c r="H322" s="14">
        <v>0</v>
      </c>
    </row>
    <row r="323" spans="1:8" x14ac:dyDescent="0.25">
      <c r="A323" s="28" t="s">
        <v>20</v>
      </c>
      <c r="B323" s="29" t="s">
        <v>46</v>
      </c>
      <c r="C323" s="29" t="s">
        <v>683</v>
      </c>
      <c r="D323" s="112" t="s">
        <v>684</v>
      </c>
      <c r="E323" s="112"/>
      <c r="F323" s="29" t="s">
        <v>20</v>
      </c>
      <c r="G323" s="30" t="s">
        <v>20</v>
      </c>
      <c r="H323" s="31" t="s">
        <v>20</v>
      </c>
    </row>
    <row r="324" spans="1:8" x14ac:dyDescent="0.25">
      <c r="A324" s="1" t="s">
        <v>685</v>
      </c>
      <c r="B324" s="2" t="s">
        <v>46</v>
      </c>
      <c r="C324" s="2" t="s">
        <v>686</v>
      </c>
      <c r="D324" s="88" t="s">
        <v>687</v>
      </c>
      <c r="E324" s="88"/>
      <c r="F324" s="2" t="s">
        <v>91</v>
      </c>
      <c r="G324" s="13">
        <v>29.4</v>
      </c>
      <c r="H324" s="14">
        <v>0</v>
      </c>
    </row>
    <row r="325" spans="1:8" x14ac:dyDescent="0.25">
      <c r="A325" s="28" t="s">
        <v>20</v>
      </c>
      <c r="B325" s="29" t="s">
        <v>46</v>
      </c>
      <c r="C325" s="29" t="s">
        <v>363</v>
      </c>
      <c r="D325" s="112" t="s">
        <v>364</v>
      </c>
      <c r="E325" s="112"/>
      <c r="F325" s="29" t="s">
        <v>20</v>
      </c>
      <c r="G325" s="30" t="s">
        <v>20</v>
      </c>
      <c r="H325" s="31" t="s">
        <v>20</v>
      </c>
    </row>
    <row r="326" spans="1:8" x14ac:dyDescent="0.25">
      <c r="A326" s="1" t="s">
        <v>688</v>
      </c>
      <c r="B326" s="2" t="s">
        <v>46</v>
      </c>
      <c r="C326" s="2" t="s">
        <v>689</v>
      </c>
      <c r="D326" s="88" t="s">
        <v>690</v>
      </c>
      <c r="E326" s="88"/>
      <c r="F326" s="2" t="s">
        <v>127</v>
      </c>
      <c r="G326" s="13">
        <v>107.7</v>
      </c>
      <c r="H326" s="14">
        <v>0</v>
      </c>
    </row>
    <row r="327" spans="1:8" x14ac:dyDescent="0.25">
      <c r="A327" s="1" t="s">
        <v>691</v>
      </c>
      <c r="B327" s="2" t="s">
        <v>46</v>
      </c>
      <c r="C327" s="2" t="s">
        <v>692</v>
      </c>
      <c r="D327" s="88" t="s">
        <v>693</v>
      </c>
      <c r="E327" s="88"/>
      <c r="F327" s="2" t="s">
        <v>127</v>
      </c>
      <c r="G327" s="13">
        <v>107.7</v>
      </c>
      <c r="H327" s="14">
        <v>0</v>
      </c>
    </row>
    <row r="328" spans="1:8" x14ac:dyDescent="0.25">
      <c r="A328" s="1" t="s">
        <v>694</v>
      </c>
      <c r="B328" s="2" t="s">
        <v>46</v>
      </c>
      <c r="C328" s="2" t="s">
        <v>695</v>
      </c>
      <c r="D328" s="88" t="s">
        <v>696</v>
      </c>
      <c r="E328" s="88"/>
      <c r="F328" s="2" t="s">
        <v>127</v>
      </c>
      <c r="G328" s="13">
        <v>29.4</v>
      </c>
      <c r="H328" s="14">
        <v>0</v>
      </c>
    </row>
    <row r="329" spans="1:8" x14ac:dyDescent="0.25">
      <c r="A329" s="28" t="s">
        <v>20</v>
      </c>
      <c r="B329" s="29" t="s">
        <v>46</v>
      </c>
      <c r="C329" s="29" t="s">
        <v>578</v>
      </c>
      <c r="D329" s="112" t="s">
        <v>579</v>
      </c>
      <c r="E329" s="112"/>
      <c r="F329" s="29" t="s">
        <v>20</v>
      </c>
      <c r="G329" s="30" t="s">
        <v>20</v>
      </c>
      <c r="H329" s="31" t="s">
        <v>20</v>
      </c>
    </row>
    <row r="330" spans="1:8" x14ac:dyDescent="0.25">
      <c r="A330" s="1" t="s">
        <v>697</v>
      </c>
      <c r="B330" s="2" t="s">
        <v>46</v>
      </c>
      <c r="C330" s="2" t="s">
        <v>698</v>
      </c>
      <c r="D330" s="88" t="s">
        <v>699</v>
      </c>
      <c r="E330" s="88"/>
      <c r="F330" s="2" t="s">
        <v>91</v>
      </c>
      <c r="G330" s="13">
        <v>58.4</v>
      </c>
      <c r="H330" s="14">
        <v>0</v>
      </c>
    </row>
    <row r="331" spans="1:8" x14ac:dyDescent="0.25">
      <c r="A331" s="28" t="s">
        <v>20</v>
      </c>
      <c r="B331" s="29" t="s">
        <v>46</v>
      </c>
      <c r="C331" s="29" t="s">
        <v>371</v>
      </c>
      <c r="D331" s="112" t="s">
        <v>700</v>
      </c>
      <c r="E331" s="112"/>
      <c r="F331" s="29" t="s">
        <v>20</v>
      </c>
      <c r="G331" s="30" t="s">
        <v>20</v>
      </c>
      <c r="H331" s="31" t="s">
        <v>20</v>
      </c>
    </row>
    <row r="332" spans="1:8" x14ac:dyDescent="0.25">
      <c r="A332" s="1" t="s">
        <v>701</v>
      </c>
      <c r="B332" s="2" t="s">
        <v>46</v>
      </c>
      <c r="C332" s="2" t="s">
        <v>702</v>
      </c>
      <c r="D332" s="88" t="s">
        <v>703</v>
      </c>
      <c r="E332" s="88"/>
      <c r="F332" s="2" t="s">
        <v>283</v>
      </c>
      <c r="G332" s="13">
        <v>4</v>
      </c>
      <c r="H332" s="14">
        <v>0</v>
      </c>
    </row>
    <row r="333" spans="1:8" x14ac:dyDescent="0.25">
      <c r="A333" s="28" t="s">
        <v>20</v>
      </c>
      <c r="B333" s="29" t="s">
        <v>46</v>
      </c>
      <c r="C333" s="29" t="s">
        <v>383</v>
      </c>
      <c r="D333" s="112" t="s">
        <v>587</v>
      </c>
      <c r="E333" s="112"/>
      <c r="F333" s="29" t="s">
        <v>20</v>
      </c>
      <c r="G333" s="30" t="s">
        <v>20</v>
      </c>
      <c r="H333" s="31" t="s">
        <v>20</v>
      </c>
    </row>
    <row r="334" spans="1:8" x14ac:dyDescent="0.25">
      <c r="A334" s="1" t="s">
        <v>704</v>
      </c>
      <c r="B334" s="2" t="s">
        <v>46</v>
      </c>
      <c r="C334" s="2" t="s">
        <v>589</v>
      </c>
      <c r="D334" s="88" t="s">
        <v>590</v>
      </c>
      <c r="E334" s="88"/>
      <c r="F334" s="2" t="s">
        <v>91</v>
      </c>
      <c r="G334" s="13">
        <v>29.2</v>
      </c>
      <c r="H334" s="14">
        <v>0</v>
      </c>
    </row>
    <row r="335" spans="1:8" x14ac:dyDescent="0.25">
      <c r="A335" s="28" t="s">
        <v>20</v>
      </c>
      <c r="B335" s="29" t="s">
        <v>46</v>
      </c>
      <c r="C335" s="29" t="s">
        <v>654</v>
      </c>
      <c r="D335" s="112" t="s">
        <v>655</v>
      </c>
      <c r="E335" s="112"/>
      <c r="F335" s="29" t="s">
        <v>20</v>
      </c>
      <c r="G335" s="30" t="s">
        <v>20</v>
      </c>
      <c r="H335" s="31" t="s">
        <v>20</v>
      </c>
    </row>
    <row r="336" spans="1:8" x14ac:dyDescent="0.25">
      <c r="A336" s="1" t="s">
        <v>705</v>
      </c>
      <c r="B336" s="2" t="s">
        <v>46</v>
      </c>
      <c r="C336" s="2" t="s">
        <v>657</v>
      </c>
      <c r="D336" s="88" t="s">
        <v>658</v>
      </c>
      <c r="E336" s="88"/>
      <c r="F336" s="2" t="s">
        <v>649</v>
      </c>
      <c r="G336" s="13">
        <v>0.91220000000000001</v>
      </c>
      <c r="H336" s="14">
        <v>0</v>
      </c>
    </row>
    <row r="337" spans="1:8" x14ac:dyDescent="0.25">
      <c r="A337" s="1" t="s">
        <v>706</v>
      </c>
      <c r="B337" s="2" t="s">
        <v>46</v>
      </c>
      <c r="C337" s="2" t="s">
        <v>660</v>
      </c>
      <c r="D337" s="88" t="s">
        <v>661</v>
      </c>
      <c r="E337" s="88"/>
      <c r="F337" s="2" t="s">
        <v>649</v>
      </c>
      <c r="G337" s="13">
        <v>0.91220000000000001</v>
      </c>
      <c r="H337" s="14">
        <v>0</v>
      </c>
    </row>
    <row r="338" spans="1:8" x14ac:dyDescent="0.25">
      <c r="A338" s="1" t="s">
        <v>707</v>
      </c>
      <c r="B338" s="2" t="s">
        <v>46</v>
      </c>
      <c r="C338" s="2" t="s">
        <v>663</v>
      </c>
      <c r="D338" s="88" t="s">
        <v>664</v>
      </c>
      <c r="E338" s="88"/>
      <c r="F338" s="2" t="s">
        <v>649</v>
      </c>
      <c r="G338" s="13">
        <v>0.91220000000000001</v>
      </c>
      <c r="H338" s="14">
        <v>0</v>
      </c>
    </row>
    <row r="339" spans="1:8" x14ac:dyDescent="0.25">
      <c r="A339" s="1" t="s">
        <v>708</v>
      </c>
      <c r="B339" s="2" t="s">
        <v>46</v>
      </c>
      <c r="C339" s="2" t="s">
        <v>666</v>
      </c>
      <c r="D339" s="88" t="s">
        <v>667</v>
      </c>
      <c r="E339" s="88"/>
      <c r="F339" s="2" t="s">
        <v>649</v>
      </c>
      <c r="G339" s="13">
        <v>0.91220000000000001</v>
      </c>
      <c r="H339" s="14">
        <v>0</v>
      </c>
    </row>
    <row r="340" spans="1:8" x14ac:dyDescent="0.25">
      <c r="A340" s="15" t="s">
        <v>709</v>
      </c>
      <c r="B340" s="16" t="s">
        <v>46</v>
      </c>
      <c r="C340" s="16" t="s">
        <v>710</v>
      </c>
      <c r="D340" s="107" t="s">
        <v>711</v>
      </c>
      <c r="E340" s="107"/>
      <c r="F340" s="16" t="s">
        <v>649</v>
      </c>
      <c r="G340" s="38">
        <v>0.91220000000000001</v>
      </c>
      <c r="H340" s="17">
        <v>0</v>
      </c>
    </row>
    <row r="342" spans="1:8" x14ac:dyDescent="0.25">
      <c r="A342" s="19" t="s">
        <v>49</v>
      </c>
    </row>
    <row r="343" spans="1:8" ht="40.5" customHeight="1" x14ac:dyDescent="0.25">
      <c r="A343" s="95" t="s">
        <v>50</v>
      </c>
      <c r="B343" s="88"/>
      <c r="C343" s="88"/>
      <c r="D343" s="88"/>
      <c r="E343" s="88"/>
      <c r="F343" s="88"/>
      <c r="G343" s="88"/>
    </row>
  </sheetData>
  <sheetProtection password="C665" sheet="1"/>
  <mergeCells count="349">
    <mergeCell ref="D339:E339"/>
    <mergeCell ref="D340:E340"/>
    <mergeCell ref="A343:G343"/>
    <mergeCell ref="D334:E334"/>
    <mergeCell ref="D335:E335"/>
    <mergeCell ref="D336:E336"/>
    <mergeCell ref="D337:E337"/>
    <mergeCell ref="D338:E338"/>
    <mergeCell ref="D329:E329"/>
    <mergeCell ref="D330:E330"/>
    <mergeCell ref="D331:E331"/>
    <mergeCell ref="D332:E332"/>
    <mergeCell ref="D333:E333"/>
    <mergeCell ref="D324:E324"/>
    <mergeCell ref="D325:E325"/>
    <mergeCell ref="D326:E326"/>
    <mergeCell ref="D327:E327"/>
    <mergeCell ref="D328:E328"/>
    <mergeCell ref="D319:E319"/>
    <mergeCell ref="D320:E320"/>
    <mergeCell ref="D321:E321"/>
    <mergeCell ref="D322:E322"/>
    <mergeCell ref="D323:E323"/>
    <mergeCell ref="D314:E314"/>
    <mergeCell ref="E315:F315"/>
    <mergeCell ref="D316:E316"/>
    <mergeCell ref="D317:G317"/>
    <mergeCell ref="D318:E318"/>
    <mergeCell ref="D309:E309"/>
    <mergeCell ref="D310:E310"/>
    <mergeCell ref="D311:E311"/>
    <mergeCell ref="D312:E312"/>
    <mergeCell ref="D313:E313"/>
    <mergeCell ref="D304:E304"/>
    <mergeCell ref="D305:E305"/>
    <mergeCell ref="D306:E306"/>
    <mergeCell ref="D307:E307"/>
    <mergeCell ref="D308:E308"/>
    <mergeCell ref="D299:E299"/>
    <mergeCell ref="E300:F300"/>
    <mergeCell ref="D301:E301"/>
    <mergeCell ref="D302:E302"/>
    <mergeCell ref="E303:F303"/>
    <mergeCell ref="D294:E294"/>
    <mergeCell ref="E295:F295"/>
    <mergeCell ref="D296:E296"/>
    <mergeCell ref="D297:E297"/>
    <mergeCell ref="D298:E298"/>
    <mergeCell ref="E289:F289"/>
    <mergeCell ref="E290:F290"/>
    <mergeCell ref="E291:F291"/>
    <mergeCell ref="D292:E292"/>
    <mergeCell ref="E293:F293"/>
    <mergeCell ref="E284:F284"/>
    <mergeCell ref="D285:E285"/>
    <mergeCell ref="E286:F286"/>
    <mergeCell ref="E287:F287"/>
    <mergeCell ref="E288:F288"/>
    <mergeCell ref="E279:F279"/>
    <mergeCell ref="D280:E280"/>
    <mergeCell ref="E281:F281"/>
    <mergeCell ref="D282:E282"/>
    <mergeCell ref="D283:E283"/>
    <mergeCell ref="D274:E274"/>
    <mergeCell ref="D275:E275"/>
    <mergeCell ref="D276:E276"/>
    <mergeCell ref="E277:F277"/>
    <mergeCell ref="D278:E278"/>
    <mergeCell ref="E269:F269"/>
    <mergeCell ref="D270:E270"/>
    <mergeCell ref="D271:E271"/>
    <mergeCell ref="E272:F272"/>
    <mergeCell ref="D273:E273"/>
    <mergeCell ref="E264:F264"/>
    <mergeCell ref="D265:E265"/>
    <mergeCell ref="E266:F266"/>
    <mergeCell ref="E267:F267"/>
    <mergeCell ref="E268:F268"/>
    <mergeCell ref="D259:E259"/>
    <mergeCell ref="D260:E260"/>
    <mergeCell ref="E261:F261"/>
    <mergeCell ref="E262:F262"/>
    <mergeCell ref="E263:F263"/>
    <mergeCell ref="D254:G254"/>
    <mergeCell ref="D255:E255"/>
    <mergeCell ref="D256:E256"/>
    <mergeCell ref="D257:E257"/>
    <mergeCell ref="D258:G258"/>
    <mergeCell ref="E249:F249"/>
    <mergeCell ref="D250:E250"/>
    <mergeCell ref="E251:F251"/>
    <mergeCell ref="D252:E252"/>
    <mergeCell ref="D253:E253"/>
    <mergeCell ref="E244:F244"/>
    <mergeCell ref="E245:F245"/>
    <mergeCell ref="D246:E246"/>
    <mergeCell ref="E247:F247"/>
    <mergeCell ref="E248:F248"/>
    <mergeCell ref="D239:E239"/>
    <mergeCell ref="D240:E240"/>
    <mergeCell ref="E241:F241"/>
    <mergeCell ref="D242:E242"/>
    <mergeCell ref="E243:F243"/>
    <mergeCell ref="D234:E234"/>
    <mergeCell ref="D235:E235"/>
    <mergeCell ref="D236:E236"/>
    <mergeCell ref="D237:E237"/>
    <mergeCell ref="E238:F238"/>
    <mergeCell ref="E229:F229"/>
    <mergeCell ref="E230:F230"/>
    <mergeCell ref="D231:E231"/>
    <mergeCell ref="E232:F232"/>
    <mergeCell ref="E233:F233"/>
    <mergeCell ref="E224:F224"/>
    <mergeCell ref="E225:F225"/>
    <mergeCell ref="E226:F226"/>
    <mergeCell ref="E227:F227"/>
    <mergeCell ref="D228:E228"/>
    <mergeCell ref="D219:E219"/>
    <mergeCell ref="E220:F220"/>
    <mergeCell ref="E221:F221"/>
    <mergeCell ref="E222:F222"/>
    <mergeCell ref="E223:F223"/>
    <mergeCell ref="E214:F214"/>
    <mergeCell ref="D215:E215"/>
    <mergeCell ref="E216:F216"/>
    <mergeCell ref="D217:E217"/>
    <mergeCell ref="D218:E218"/>
    <mergeCell ref="D209:E209"/>
    <mergeCell ref="E210:F210"/>
    <mergeCell ref="D211:E211"/>
    <mergeCell ref="E212:F212"/>
    <mergeCell ref="D213:E213"/>
    <mergeCell ref="D204:E204"/>
    <mergeCell ref="E205:F205"/>
    <mergeCell ref="D206:E206"/>
    <mergeCell ref="E207:F207"/>
    <mergeCell ref="E208:F208"/>
    <mergeCell ref="D199:G199"/>
    <mergeCell ref="D200:E200"/>
    <mergeCell ref="D201:E201"/>
    <mergeCell ref="D202:E202"/>
    <mergeCell ref="E203:F203"/>
    <mergeCell ref="D194:E194"/>
    <mergeCell ref="D195:G195"/>
    <mergeCell ref="D196:E196"/>
    <mergeCell ref="D197:G197"/>
    <mergeCell ref="D198:E198"/>
    <mergeCell ref="D189:E189"/>
    <mergeCell ref="D190:E190"/>
    <mergeCell ref="D191:E191"/>
    <mergeCell ref="D192:E192"/>
    <mergeCell ref="D193:G193"/>
    <mergeCell ref="D184:E184"/>
    <mergeCell ref="E185:F185"/>
    <mergeCell ref="D186:E186"/>
    <mergeCell ref="D187:E187"/>
    <mergeCell ref="D188:E188"/>
    <mergeCell ref="D179:E179"/>
    <mergeCell ref="D180:E180"/>
    <mergeCell ref="D181:E181"/>
    <mergeCell ref="D182:E182"/>
    <mergeCell ref="D183:E183"/>
    <mergeCell ref="D174:E174"/>
    <mergeCell ref="D175:E175"/>
    <mergeCell ref="D176:E176"/>
    <mergeCell ref="D177:E177"/>
    <mergeCell ref="D178:E178"/>
    <mergeCell ref="D169:G169"/>
    <mergeCell ref="D170:E170"/>
    <mergeCell ref="D171:E171"/>
    <mergeCell ref="D172:E172"/>
    <mergeCell ref="D173:E173"/>
    <mergeCell ref="D164:E164"/>
    <mergeCell ref="D165:E165"/>
    <mergeCell ref="D166:E166"/>
    <mergeCell ref="D167:E167"/>
    <mergeCell ref="D168:E168"/>
    <mergeCell ref="D159:E159"/>
    <mergeCell ref="D160:E160"/>
    <mergeCell ref="D161:E161"/>
    <mergeCell ref="D162:E162"/>
    <mergeCell ref="D163:E163"/>
    <mergeCell ref="D154:E154"/>
    <mergeCell ref="D155:E155"/>
    <mergeCell ref="D156:E156"/>
    <mergeCell ref="D157:E157"/>
    <mergeCell ref="D158:E158"/>
    <mergeCell ref="D149:E149"/>
    <mergeCell ref="D150:E150"/>
    <mergeCell ref="D151:E151"/>
    <mergeCell ref="D152:E152"/>
    <mergeCell ref="D153:E153"/>
    <mergeCell ref="D144:E144"/>
    <mergeCell ref="D145:E145"/>
    <mergeCell ref="D146:E146"/>
    <mergeCell ref="D147:E147"/>
    <mergeCell ref="D148:E148"/>
    <mergeCell ref="D139:G139"/>
    <mergeCell ref="D140:E140"/>
    <mergeCell ref="D141:G141"/>
    <mergeCell ref="D142:E142"/>
    <mergeCell ref="D143:G143"/>
    <mergeCell ref="D134:E134"/>
    <mergeCell ref="D135:G135"/>
    <mergeCell ref="D136:E136"/>
    <mergeCell ref="D137:G137"/>
    <mergeCell ref="D138:E138"/>
    <mergeCell ref="D129:E129"/>
    <mergeCell ref="D130:E130"/>
    <mergeCell ref="D131:E131"/>
    <mergeCell ref="D132:E132"/>
    <mergeCell ref="D133:E133"/>
    <mergeCell ref="D124:E124"/>
    <mergeCell ref="D125:E125"/>
    <mergeCell ref="D126:E126"/>
    <mergeCell ref="D127:E127"/>
    <mergeCell ref="D128:E128"/>
    <mergeCell ref="D119:E119"/>
    <mergeCell ref="D120:G120"/>
    <mergeCell ref="D121:E121"/>
    <mergeCell ref="D122:E122"/>
    <mergeCell ref="D123:E123"/>
    <mergeCell ref="D114:E114"/>
    <mergeCell ref="D115:E115"/>
    <mergeCell ref="D116:E116"/>
    <mergeCell ref="E117:F117"/>
    <mergeCell ref="D118:E118"/>
    <mergeCell ref="D109:E109"/>
    <mergeCell ref="D110:E110"/>
    <mergeCell ref="D111:E111"/>
    <mergeCell ref="D112:E112"/>
    <mergeCell ref="D113:E113"/>
    <mergeCell ref="D104:E104"/>
    <mergeCell ref="D105:E105"/>
    <mergeCell ref="D106:E106"/>
    <mergeCell ref="D107:E107"/>
    <mergeCell ref="D108:E108"/>
    <mergeCell ref="D99:E99"/>
    <mergeCell ref="D100:E100"/>
    <mergeCell ref="D101:E101"/>
    <mergeCell ref="D102:E102"/>
    <mergeCell ref="D103:E103"/>
    <mergeCell ref="D94:E94"/>
    <mergeCell ref="E95:F95"/>
    <mergeCell ref="D96:E96"/>
    <mergeCell ref="D97:E97"/>
    <mergeCell ref="D98:E98"/>
    <mergeCell ref="D89:E89"/>
    <mergeCell ref="E90:F90"/>
    <mergeCell ref="E91:F91"/>
    <mergeCell ref="D92:E92"/>
    <mergeCell ref="E93:F93"/>
    <mergeCell ref="D84:E84"/>
    <mergeCell ref="D85:E85"/>
    <mergeCell ref="D86:E86"/>
    <mergeCell ref="D87:G87"/>
    <mergeCell ref="D88:E88"/>
    <mergeCell ref="E79:F79"/>
    <mergeCell ref="D80:E80"/>
    <mergeCell ref="E81:F81"/>
    <mergeCell ref="D82:E82"/>
    <mergeCell ref="D83:E83"/>
    <mergeCell ref="D74:E74"/>
    <mergeCell ref="E75:F75"/>
    <mergeCell ref="D76:E76"/>
    <mergeCell ref="E77:F77"/>
    <mergeCell ref="D78:E78"/>
    <mergeCell ref="D69:E69"/>
    <mergeCell ref="D70:E70"/>
    <mergeCell ref="E71:F71"/>
    <mergeCell ref="D72:E72"/>
    <mergeCell ref="E73:F73"/>
    <mergeCell ref="E64:F64"/>
    <mergeCell ref="D65:E65"/>
    <mergeCell ref="D66:E66"/>
    <mergeCell ref="E67:F67"/>
    <mergeCell ref="D68:G68"/>
    <mergeCell ref="D59:E59"/>
    <mergeCell ref="E60:F60"/>
    <mergeCell ref="D61:E61"/>
    <mergeCell ref="E62:F62"/>
    <mergeCell ref="D63:E63"/>
    <mergeCell ref="D54:E54"/>
    <mergeCell ref="E55:F55"/>
    <mergeCell ref="E56:F56"/>
    <mergeCell ref="D57:E57"/>
    <mergeCell ref="D58:E58"/>
    <mergeCell ref="E49:F49"/>
    <mergeCell ref="D50:E50"/>
    <mergeCell ref="D51:E51"/>
    <mergeCell ref="E52:F52"/>
    <mergeCell ref="E53:F53"/>
    <mergeCell ref="D44:E44"/>
    <mergeCell ref="E45:F45"/>
    <mergeCell ref="D46:E46"/>
    <mergeCell ref="E47:F47"/>
    <mergeCell ref="D48:E48"/>
    <mergeCell ref="D39:E39"/>
    <mergeCell ref="E40:F40"/>
    <mergeCell ref="D41:E41"/>
    <mergeCell ref="E42:F42"/>
    <mergeCell ref="D43:E43"/>
    <mergeCell ref="D34:E34"/>
    <mergeCell ref="D35:E35"/>
    <mergeCell ref="E36:F36"/>
    <mergeCell ref="D37:E37"/>
    <mergeCell ref="D38:E38"/>
    <mergeCell ref="D29:E29"/>
    <mergeCell ref="E30:F30"/>
    <mergeCell ref="D31:E31"/>
    <mergeCell ref="E32:F32"/>
    <mergeCell ref="D33:E33"/>
    <mergeCell ref="D24:G24"/>
    <mergeCell ref="D25:E25"/>
    <mergeCell ref="E26:F26"/>
    <mergeCell ref="D27:E27"/>
    <mergeCell ref="D28:E28"/>
    <mergeCell ref="D19:E19"/>
    <mergeCell ref="D20:E20"/>
    <mergeCell ref="D21:E21"/>
    <mergeCell ref="D22:G22"/>
    <mergeCell ref="D23:E23"/>
    <mergeCell ref="D14:E14"/>
    <mergeCell ref="D15:E15"/>
    <mergeCell ref="D16:E16"/>
    <mergeCell ref="D17:E17"/>
    <mergeCell ref="D18:E18"/>
    <mergeCell ref="F8:H9"/>
    <mergeCell ref="D10:E10"/>
    <mergeCell ref="D11:E11"/>
    <mergeCell ref="D12:E12"/>
    <mergeCell ref="D13:E13"/>
    <mergeCell ref="A1:H1"/>
    <mergeCell ref="A2:B3"/>
    <mergeCell ref="A4:B5"/>
    <mergeCell ref="A6:B7"/>
    <mergeCell ref="A8:B9"/>
    <mergeCell ref="E2:E3"/>
    <mergeCell ref="E4:E5"/>
    <mergeCell ref="E6:E7"/>
    <mergeCell ref="E8:E9"/>
    <mergeCell ref="C2:D3"/>
    <mergeCell ref="C4:D5"/>
    <mergeCell ref="C6:D7"/>
    <mergeCell ref="C8:D9"/>
    <mergeCell ref="F2:H3"/>
    <mergeCell ref="F4:H5"/>
    <mergeCell ref="F6:H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Krycí list rozpočtu</vt:lpstr>
      <vt:lpstr>Rozpočet - Jen objekty celkem</vt:lpstr>
      <vt:lpstr>Rozpočet - Jen skupiny</vt:lpstr>
      <vt:lpstr>VORN</vt:lpstr>
      <vt:lpstr>Stavební rozpočet</vt:lpstr>
      <vt:lpstr>Výkaz výměr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Kamil Beck</cp:lastModifiedBy>
  <dcterms:created xsi:type="dcterms:W3CDTF">2021-06-10T20:06:38Z</dcterms:created>
  <dcterms:modified xsi:type="dcterms:W3CDTF">2024-03-26T11:49:21Z</dcterms:modified>
</cp:coreProperties>
</file>